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hdata\Admin\budget\2027\8 - Budget Workshop\9 - Website Posts - Public\POSTED\"/>
    </mc:Choice>
  </mc:AlternateContent>
  <xr:revisionPtr revIDLastSave="0" documentId="13_ncr:1_{0FE0BF92-F7CB-4EE1-B88C-5F152BCE45D5}" xr6:coauthVersionLast="36" xr6:coauthVersionMax="36" xr10:uidLastSave="{00000000-0000-0000-0000-000000000000}"/>
  <bookViews>
    <workbookView xWindow="0" yWindow="0" windowWidth="23040" windowHeight="9696" tabRatio="886" xr2:uid="{21929189-2674-49BA-9C82-CFF660F9FC0B}"/>
  </bookViews>
  <sheets>
    <sheet name="Instrructions" sheetId="12" r:id="rId1"/>
    <sheet name="Admin Categories" sheetId="10" r:id="rId2"/>
    <sheet name="Tax Rates" sheetId="1" r:id="rId3"/>
    <sheet name="General Fund" sheetId="3" r:id="rId4"/>
    <sheet name="Road &amp; Bridge Fund" sheetId="6" r:id="rId5"/>
    <sheet name="Healthcare Fund" sheetId="7" r:id="rId6"/>
    <sheet name="Other Funds" sheetId="8" r:id="rId7"/>
    <sheet name="5-Year Plan Instructions" sheetId="17" r:id="rId8"/>
    <sheet name="GF 5-Year Estimate" sheetId="13" r:id="rId9"/>
    <sheet name="RB 5-Year Estimate" sheetId="15" r:id="rId10"/>
    <sheet name="Calc Your Tax Rate" sheetId="14" r:id="rId11"/>
    <sheet name="Jail Pods" sheetId="16" r:id="rId12"/>
  </sheets>
  <externalReferences>
    <externalReference r:id="rId13"/>
    <externalReference r:id="rId14"/>
    <externalReference r:id="rId15"/>
    <externalReference r:id="rId16"/>
    <externalReference r:id="rId17"/>
    <externalReference r:id="rId18"/>
    <externalReference r:id="rId19"/>
  </externalReferences>
  <definedNames>
    <definedName name="account">#REF!</definedName>
    <definedName name="accountdetailname" localSheetId="0">#REF!</definedName>
    <definedName name="accountdetailname">#REF!</definedName>
    <definedName name="budget">#REF!</definedName>
    <definedName name="category">'[1]Category Table'!$A$2:$B$59</definedName>
    <definedName name="cityname">[2]Inputs!$B$7</definedName>
    <definedName name="Code" localSheetId="8" hidden="1">#REF!</definedName>
    <definedName name="Code" localSheetId="9" hidden="1">#REF!</definedName>
    <definedName name="Code" hidden="1">#REF!</definedName>
    <definedName name="data1" localSheetId="8" hidden="1">#REF!</definedName>
    <definedName name="data1" localSheetId="9" hidden="1">#REF!</definedName>
    <definedName name="data1" hidden="1">#REF!</definedName>
    <definedName name="data2" localSheetId="8" hidden="1">#REF!</definedName>
    <definedName name="data2" localSheetId="9" hidden="1">#REF!</definedName>
    <definedName name="data2" hidden="1">#REF!</definedName>
    <definedName name="data3" localSheetId="8" hidden="1">#REF!</definedName>
    <definedName name="data3" localSheetId="9" hidden="1">#REF!</definedName>
    <definedName name="data3" hidden="1">#REF!</definedName>
    <definedName name="debt_taxes" localSheetId="9">#REF!</definedName>
    <definedName name="debt_taxes">#REF!</definedName>
    <definedName name="Discount" localSheetId="8" hidden="1">#REF!</definedName>
    <definedName name="Discount" localSheetId="9" hidden="1">#REF!</definedName>
    <definedName name="Discount" hidden="1">#REF!</definedName>
    <definedName name="display_area_2" localSheetId="8" hidden="1">#REF!</definedName>
    <definedName name="display_area_2" localSheetId="9" hidden="1">#REF!</definedName>
    <definedName name="display_area_2" hidden="1">#REF!</definedName>
    <definedName name="exp_ytd_data" localSheetId="8">#REF!</definedName>
    <definedName name="exp_ytd_data" localSheetId="9">#REF!</definedName>
    <definedName name="exp_ytd_data">#REF!</definedName>
    <definedName name="FCode" localSheetId="8" hidden="1">#REF!</definedName>
    <definedName name="FCode" localSheetId="9" hidden="1">#REF!</definedName>
    <definedName name="FCode" hidden="1">#REF!</definedName>
    <definedName name="Fund_Bal" localSheetId="9">#REF!</definedName>
    <definedName name="Fund_Bal">#REF!</definedName>
    <definedName name="Fund_Num_Name">#REF!</definedName>
    <definedName name="FundDescrip">#REF!</definedName>
    <definedName name="Fundnames">#REF!</definedName>
    <definedName name="FundType" localSheetId="9">'[3]SOURCE TABLE'!$F$1:$G$247</definedName>
    <definedName name="FundType">#REF!</definedName>
    <definedName name="futurefunding" localSheetId="9">#REF!</definedName>
    <definedName name="futurefunding">#REF!</definedName>
    <definedName name="HiddenRows" localSheetId="8" hidden="1">#REF!</definedName>
    <definedName name="HiddenRows" localSheetId="9" hidden="1">#REF!</definedName>
    <definedName name="HiddenRows" hidden="1">#REF!</definedName>
    <definedName name="LevelDescriptions" localSheetId="10">'[4]0001'!$S$2:$T$4</definedName>
    <definedName name="LevelDescriptions" localSheetId="9">'RB 5-Year Estimate'!$S$2:$T$4</definedName>
    <definedName name="LevelDescriptions">'GF 5-Year Estimate'!$S$2:$T$4</definedName>
    <definedName name="masterlistuploadpre" localSheetId="0">#REF!</definedName>
    <definedName name="masterlistuploadpre">#REF!</definedName>
    <definedName name="NEWCUBEEXPDATA">#REF!</definedName>
    <definedName name="newprojects" localSheetId="9">#REF!</definedName>
    <definedName name="newprojects">#REF!</definedName>
    <definedName name="OrderTable" localSheetId="8" hidden="1">#REF!</definedName>
    <definedName name="OrderTable" localSheetId="9" hidden="1">#REF!</definedName>
    <definedName name="OrderTable" hidden="1">#REF!</definedName>
    <definedName name="PeopletoMunis">'[5]Acct Beg Table'!$B$2:$J$145</definedName>
    <definedName name="_xlnm.Print_Area" localSheetId="1">'Admin Categories'!$A$1:$C$39</definedName>
    <definedName name="_xlnm.Print_Area" localSheetId="10">'Calc Your Tax Rate'!$A$1:$O$74</definedName>
    <definedName name="_xlnm.Print_Area" localSheetId="3">'General Fund'!$A$1:$M$180</definedName>
    <definedName name="_xlnm.Print_Area" localSheetId="8">'GF 5-Year Estimate'!$A$1:$K$113</definedName>
    <definedName name="_xlnm.Print_Area" localSheetId="5">'Healthcare Fund'!$A$1:$M$53</definedName>
    <definedName name="_xlnm.Print_Area" localSheetId="0">Instrructions!$A$1:$M$49</definedName>
    <definedName name="_xlnm.Print_Area" localSheetId="6">'Other Funds'!$A$1:$M$64</definedName>
    <definedName name="_xlnm.Print_Area" localSheetId="9">'RB 5-Year Estimate'!$A$1:$K$59</definedName>
    <definedName name="_xlnm.Print_Area" localSheetId="4">'Road &amp; Bridge Fund'!$A$1:$M$64</definedName>
    <definedName name="_xlnm.Print_Area" localSheetId="2">'Tax Rates'!$A$1:$E$24</definedName>
    <definedName name="_xlnm.Print_Area">#REF!</definedName>
    <definedName name="_xlnm.Print_Titles" localSheetId="10">'Calc Your Tax Rate'!$1:$3</definedName>
    <definedName name="_xlnm.Print_Titles" localSheetId="3">'General Fund'!$1:$2</definedName>
    <definedName name="_xlnm.Print_Titles" localSheetId="8">'GF 5-Year Estimate'!$1:$3</definedName>
    <definedName name="_xlnm.Print_Titles" localSheetId="5">'Healthcare Fund'!$1:$2</definedName>
    <definedName name="_xlnm.Print_Titles" localSheetId="0">Instrructions!$2:$2</definedName>
    <definedName name="_xlnm.Print_Titles" localSheetId="6">'Other Funds'!$1:$2</definedName>
    <definedName name="_xlnm.Print_Titles" localSheetId="9">'RB 5-Year Estimate'!$1:$3</definedName>
    <definedName name="_xlnm.Print_Titles" localSheetId="4">'Road &amp; Bridge Fund'!$1:$2</definedName>
    <definedName name="ProdForm" localSheetId="8" hidden="1">#REF!</definedName>
    <definedName name="ProdForm" localSheetId="9" hidden="1">#REF!</definedName>
    <definedName name="ProdForm" hidden="1">#REF!</definedName>
    <definedName name="Product" localSheetId="8" hidden="1">#REF!</definedName>
    <definedName name="Product" localSheetId="9" hidden="1">#REF!</definedName>
    <definedName name="Product" hidden="1">#REF!</definedName>
    <definedName name="RCArea" localSheetId="8" hidden="1">#REF!</definedName>
    <definedName name="RCArea" localSheetId="9" hidden="1">#REF!</definedName>
    <definedName name="RCArea" hidden="1">#REF!</definedName>
    <definedName name="RevenueSource" localSheetId="9">'[3]SOURCE TABLE'!$A$2:$C$510</definedName>
    <definedName name="RevenueSource">#REF!</definedName>
    <definedName name="RevExp" localSheetId="8">'[6]SOURCE TABLE'!#REF!</definedName>
    <definedName name="RevExp" localSheetId="9">'[6]SOURCE TABLE'!#REF!</definedName>
    <definedName name="RevExp">'[6]SOURCE TABLE'!#REF!</definedName>
    <definedName name="Salary" localSheetId="0">#REF!</definedName>
    <definedName name="Salary">#REF!</definedName>
    <definedName name="salary2" localSheetId="0">#REF!</definedName>
    <definedName name="salary2">#REF!</definedName>
    <definedName name="SpecialPrice" localSheetId="8" hidden="1">#REF!</definedName>
    <definedName name="SpecialPrice" localSheetId="9" hidden="1">#REF!</definedName>
    <definedName name="SpecialPrice" hidden="1">#REF!</definedName>
    <definedName name="tbl_ProdInfo" localSheetId="8" hidden="1">#REF!</definedName>
    <definedName name="tbl_ProdInfo" localSheetId="9" hidden="1">#REF!</definedName>
    <definedName name="tbl_ProdInfo" hidden="1">#REF!</definedName>
    <definedName name="tirzname">[2]Inputs!$B$8</definedName>
    <definedName name="uploadacctverify" localSheetId="0">#REF!</definedName>
    <definedName name="uploadacctverify">#REF!</definedName>
    <definedName name="xcolumnkey">'[7]X Column Key'!$A$1:$D$629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2" i="15" l="1"/>
  <c r="H22" i="15"/>
  <c r="I22" i="15"/>
  <c r="J22" i="15"/>
  <c r="K22" i="15"/>
  <c r="F22" i="15"/>
  <c r="D22" i="16" l="1"/>
  <c r="K81" i="13" s="1"/>
  <c r="D21" i="16"/>
  <c r="D20" i="16"/>
  <c r="I81" i="13" s="1"/>
  <c r="D19" i="16"/>
  <c r="H81" i="13" s="1"/>
  <c r="C19" i="16"/>
  <c r="H72" i="13" s="1"/>
  <c r="B19" i="16"/>
  <c r="E19" i="16" s="1"/>
  <c r="D18" i="16"/>
  <c r="G81" i="13" s="1"/>
  <c r="C18" i="16"/>
  <c r="G72" i="13" s="1"/>
  <c r="B18" i="16"/>
  <c r="E18" i="16" s="1"/>
  <c r="D17" i="16"/>
  <c r="E12" i="13"/>
  <c r="G66" i="13" l="1"/>
  <c r="H66" i="13"/>
  <c r="D23" i="16"/>
  <c r="J81" i="13"/>
  <c r="E13" i="16"/>
  <c r="F12" i="16"/>
  <c r="B20" i="16"/>
  <c r="F10" i="16"/>
  <c r="C22" i="16"/>
  <c r="K72" i="13" s="1"/>
  <c r="B22" i="16"/>
  <c r="C21" i="16"/>
  <c r="J72" i="13" s="1"/>
  <c r="F7" i="16"/>
  <c r="F5" i="16"/>
  <c r="F6" i="16"/>
  <c r="I66" i="13" l="1"/>
  <c r="F11" i="16"/>
  <c r="C20" i="16"/>
  <c r="I72" i="13" s="1"/>
  <c r="E22" i="16"/>
  <c r="K66" i="13"/>
  <c r="F8" i="16"/>
  <c r="B21" i="16"/>
  <c r="F9" i="16"/>
  <c r="B17" i="16" l="1"/>
  <c r="E20" i="16"/>
  <c r="D13" i="16"/>
  <c r="C17" i="16"/>
  <c r="C23" i="16" s="1"/>
  <c r="E21" i="16"/>
  <c r="J66" i="13"/>
  <c r="F4" i="16"/>
  <c r="C13" i="16"/>
  <c r="F3" i="16"/>
  <c r="F13" i="16" s="1"/>
  <c r="E17" i="16" l="1"/>
  <c r="E23" i="16" s="1"/>
  <c r="B23" i="16"/>
  <c r="G31" i="13"/>
  <c r="G30" i="15"/>
  <c r="G13" i="13" l="1"/>
  <c r="G12" i="13"/>
  <c r="G28" i="15" l="1"/>
  <c r="H28" i="15" s="1"/>
  <c r="I28" i="15" s="1"/>
  <c r="J28" i="15" s="1"/>
  <c r="K28" i="15" s="1"/>
  <c r="F43" i="15"/>
  <c r="F44" i="15"/>
  <c r="F42" i="15"/>
  <c r="F40" i="15"/>
  <c r="G27" i="15" s="1"/>
  <c r="F41" i="15"/>
  <c r="G29" i="15" s="1"/>
  <c r="H29" i="15" s="1"/>
  <c r="I29" i="15" s="1"/>
  <c r="J29" i="15" s="1"/>
  <c r="K29" i="15" s="1"/>
  <c r="H27" i="15" l="1"/>
  <c r="I27" i="15" s="1"/>
  <c r="J27" i="15" s="1"/>
  <c r="K27" i="15" s="1"/>
  <c r="H30" i="15"/>
  <c r="I30" i="15" s="1"/>
  <c r="J30" i="15" s="1"/>
  <c r="K30" i="15" s="1"/>
  <c r="G35" i="15"/>
  <c r="H35" i="15" s="1"/>
  <c r="I35" i="15" s="1"/>
  <c r="J35" i="15" s="1"/>
  <c r="K35" i="15" s="1"/>
  <c r="E17" i="15"/>
  <c r="E15" i="15"/>
  <c r="E13" i="15"/>
  <c r="E12" i="15"/>
  <c r="O17" i="15"/>
  <c r="O16" i="15"/>
  <c r="O15" i="15"/>
  <c r="O14" i="15"/>
  <c r="O13" i="15"/>
  <c r="O12" i="15"/>
  <c r="O11" i="15"/>
  <c r="P11" i="15"/>
  <c r="Q11" i="15"/>
  <c r="G13" i="15"/>
  <c r="H13" i="15" s="1"/>
  <c r="I13" i="15" s="1"/>
  <c r="J13" i="15" s="1"/>
  <c r="K13" i="15" s="1"/>
  <c r="G14" i="15"/>
  <c r="H14" i="15" s="1"/>
  <c r="I14" i="15" s="1"/>
  <c r="J14" i="15" s="1"/>
  <c r="K14" i="15" s="1"/>
  <c r="G15" i="15"/>
  <c r="H15" i="15" s="1"/>
  <c r="I15" i="15" s="1"/>
  <c r="J15" i="15" s="1"/>
  <c r="K15" i="15" s="1"/>
  <c r="G16" i="15"/>
  <c r="H16" i="15" s="1"/>
  <c r="I16" i="15" s="1"/>
  <c r="J16" i="15" s="1"/>
  <c r="K16" i="15" s="1"/>
  <c r="G17" i="15"/>
  <c r="H17" i="15" s="1"/>
  <c r="I17" i="15" s="1"/>
  <c r="J17" i="15" s="1"/>
  <c r="K17" i="15" s="1"/>
  <c r="G12" i="15"/>
  <c r="H12" i="15" s="1"/>
  <c r="I12" i="15" s="1"/>
  <c r="J12" i="15" s="1"/>
  <c r="K12" i="15" s="1"/>
  <c r="Q30" i="15" l="1"/>
  <c r="P30" i="15"/>
  <c r="O30" i="15"/>
  <c r="Q29" i="15"/>
  <c r="P29" i="15"/>
  <c r="O29" i="15"/>
  <c r="Q28" i="15"/>
  <c r="P28" i="15"/>
  <c r="O28" i="15"/>
  <c r="Q27" i="15"/>
  <c r="P27" i="15"/>
  <c r="O27" i="15"/>
  <c r="Q17" i="15"/>
  <c r="P17" i="15"/>
  <c r="Q16" i="15"/>
  <c r="P16" i="15"/>
  <c r="Q15" i="15"/>
  <c r="P15" i="15"/>
  <c r="Q14" i="15"/>
  <c r="P14" i="15"/>
  <c r="Q13" i="15"/>
  <c r="P13" i="15"/>
  <c r="Q12" i="15"/>
  <c r="P12" i="15"/>
  <c r="Q10" i="15"/>
  <c r="Q26" i="15" s="1"/>
  <c r="P10" i="15"/>
  <c r="P26" i="15" s="1"/>
  <c r="O10" i="15"/>
  <c r="O26" i="15" s="1"/>
  <c r="Q9" i="15"/>
  <c r="Q25" i="15" s="1"/>
  <c r="P9" i="15"/>
  <c r="P25" i="15" s="1"/>
  <c r="O9" i="15"/>
  <c r="O25" i="15" s="1"/>
  <c r="G56" i="15"/>
  <c r="F56" i="15"/>
  <c r="E56" i="15"/>
  <c r="D56" i="15"/>
  <c r="C56" i="15"/>
  <c r="B56" i="15"/>
  <c r="H53" i="15"/>
  <c r="H56" i="15" s="1"/>
  <c r="F20" i="15"/>
  <c r="E20" i="15"/>
  <c r="D20" i="15"/>
  <c r="C20" i="15"/>
  <c r="B20" i="15"/>
  <c r="K20" i="15"/>
  <c r="J20" i="15"/>
  <c r="I20" i="15"/>
  <c r="H20" i="15"/>
  <c r="G20" i="15"/>
  <c r="B8" i="15"/>
  <c r="B33" i="15" l="1"/>
  <c r="B37" i="15" s="1"/>
  <c r="B24" i="15"/>
  <c r="C33" i="15"/>
  <c r="C37" i="15" s="1"/>
  <c r="F33" i="15"/>
  <c r="F37" i="15" s="1"/>
  <c r="F47" i="15" s="1"/>
  <c r="F61" i="15" s="1"/>
  <c r="D33" i="15"/>
  <c r="E33" i="15"/>
  <c r="E37" i="15" s="1"/>
  <c r="E47" i="15" s="1"/>
  <c r="E61" i="15" s="1"/>
  <c r="I53" i="15"/>
  <c r="G33" i="15"/>
  <c r="E63" i="15" l="1"/>
  <c r="E62" i="15"/>
  <c r="F63" i="15"/>
  <c r="F62" i="15"/>
  <c r="G37" i="15"/>
  <c r="G47" i="15" s="1"/>
  <c r="G61" i="15" s="1"/>
  <c r="B47" i="15"/>
  <c r="D37" i="15"/>
  <c r="D47" i="15" s="1"/>
  <c r="D61" i="15" s="1"/>
  <c r="C47" i="15"/>
  <c r="C61" i="15" s="1"/>
  <c r="I56" i="15"/>
  <c r="J53" i="15"/>
  <c r="H33" i="15"/>
  <c r="H37" i="15" s="1"/>
  <c r="D63" i="15" l="1"/>
  <c r="D62" i="15"/>
  <c r="C63" i="15"/>
  <c r="C62" i="15"/>
  <c r="B49" i="15"/>
  <c r="B61" i="15"/>
  <c r="G62" i="15"/>
  <c r="G63" i="15"/>
  <c r="C8" i="15"/>
  <c r="C24" i="15" s="1"/>
  <c r="C49" i="15" s="1"/>
  <c r="C58" i="15" s="1"/>
  <c r="C64" i="15" s="1"/>
  <c r="B58" i="15"/>
  <c r="B64" i="15" s="1"/>
  <c r="H47" i="15"/>
  <c r="H61" i="15" s="1"/>
  <c r="I33" i="15"/>
  <c r="J56" i="15"/>
  <c r="K53" i="15"/>
  <c r="K56" i="15" s="1"/>
  <c r="B63" i="15" l="1"/>
  <c r="B62" i="15"/>
  <c r="H63" i="15"/>
  <c r="H62" i="15"/>
  <c r="I37" i="15"/>
  <c r="I47" i="15" s="1"/>
  <c r="I61" i="15" s="1"/>
  <c r="D8" i="15"/>
  <c r="D24" i="15" s="1"/>
  <c r="D49" i="15" s="1"/>
  <c r="E8" i="15" s="1"/>
  <c r="E24" i="15" s="1"/>
  <c r="E49" i="15" s="1"/>
  <c r="J33" i="15"/>
  <c r="J37" i="15" s="1"/>
  <c r="I62" i="15" l="1"/>
  <c r="I63" i="15"/>
  <c r="D58" i="15"/>
  <c r="D64" i="15" s="1"/>
  <c r="J47" i="15"/>
  <c r="J61" i="15" s="1"/>
  <c r="E58" i="15"/>
  <c r="E64" i="15" s="1"/>
  <c r="F8" i="15"/>
  <c r="F24" i="15" s="1"/>
  <c r="F49" i="15" s="1"/>
  <c r="K33" i="15"/>
  <c r="J62" i="15" l="1"/>
  <c r="J63" i="15"/>
  <c r="K37" i="15"/>
  <c r="K47" i="15" s="1"/>
  <c r="K61" i="15" s="1"/>
  <c r="G8" i="15"/>
  <c r="F58" i="15"/>
  <c r="F64" i="15" s="1"/>
  <c r="K63" i="15" l="1"/>
  <c r="K62" i="15"/>
  <c r="G18" i="13" l="1"/>
  <c r="I23" i="13"/>
  <c r="J23" i="13"/>
  <c r="K23" i="13" s="1"/>
  <c r="H23" i="13"/>
  <c r="G42" i="13"/>
  <c r="E18" i="13"/>
  <c r="E16" i="13"/>
  <c r="E13" i="13"/>
  <c r="E15" i="13"/>
  <c r="E11" i="13"/>
  <c r="H42" i="13" l="1"/>
  <c r="G24" i="15"/>
  <c r="G49" i="15" s="1"/>
  <c r="G29" i="13"/>
  <c r="H29" i="13" s="1"/>
  <c r="I29" i="13" s="1"/>
  <c r="J29" i="13" s="1"/>
  <c r="K29" i="13" s="1"/>
  <c r="F61" i="13"/>
  <c r="F59" i="13"/>
  <c r="F60" i="13"/>
  <c r="F58" i="13"/>
  <c r="F57" i="13"/>
  <c r="G28" i="13" s="1"/>
  <c r="H28" i="13" s="1"/>
  <c r="I28" i="13" s="1"/>
  <c r="H73" i="13"/>
  <c r="G30" i="13" l="1"/>
  <c r="H30" i="13" s="1"/>
  <c r="I30" i="13" s="1"/>
  <c r="J30" i="13" s="1"/>
  <c r="K30" i="13" s="1"/>
  <c r="H8" i="15"/>
  <c r="G58" i="15"/>
  <c r="G64" i="15" s="1"/>
  <c r="I42" i="13"/>
  <c r="J28" i="13"/>
  <c r="K28" i="13" s="1"/>
  <c r="Q28" i="13"/>
  <c r="O31" i="13"/>
  <c r="O30" i="13"/>
  <c r="O29" i="13"/>
  <c r="O28" i="13"/>
  <c r="G14" i="13"/>
  <c r="H14" i="13" s="1"/>
  <c r="Q23" i="13"/>
  <c r="P23" i="13"/>
  <c r="O23" i="13"/>
  <c r="O13" i="13"/>
  <c r="P13" i="13"/>
  <c r="Q13" i="13"/>
  <c r="O14" i="13"/>
  <c r="P14" i="13"/>
  <c r="Q14" i="13"/>
  <c r="O15" i="13"/>
  <c r="P15" i="13"/>
  <c r="Q15" i="13"/>
  <c r="O16" i="13"/>
  <c r="P16" i="13"/>
  <c r="Q16" i="13"/>
  <c r="O17" i="13"/>
  <c r="P17" i="13"/>
  <c r="Q17" i="13"/>
  <c r="O18" i="13"/>
  <c r="P18" i="13"/>
  <c r="Q18" i="13"/>
  <c r="Q12" i="13"/>
  <c r="P12" i="13"/>
  <c r="O12" i="13"/>
  <c r="J42" i="13" l="1"/>
  <c r="H24" i="15"/>
  <c r="H49" i="15" s="1"/>
  <c r="L57" i="14"/>
  <c r="J57" i="14"/>
  <c r="H57" i="14"/>
  <c r="A71" i="14"/>
  <c r="A72" i="14"/>
  <c r="A73" i="14"/>
  <c r="A74" i="14"/>
  <c r="A70" i="14"/>
  <c r="N65" i="14"/>
  <c r="N64" i="14"/>
  <c r="N63" i="14"/>
  <c r="N62" i="14"/>
  <c r="N61" i="14"/>
  <c r="K54" i="14"/>
  <c r="K61" i="14" s="1"/>
  <c r="K62" i="14" s="1"/>
  <c r="K63" i="14" s="1"/>
  <c r="K64" i="14" s="1"/>
  <c r="K65" i="14" s="1"/>
  <c r="F54" i="14"/>
  <c r="B54" i="14"/>
  <c r="D54" i="14" s="1"/>
  <c r="H53" i="14"/>
  <c r="G53" i="14"/>
  <c r="E53" i="14"/>
  <c r="C53" i="14"/>
  <c r="K52" i="14"/>
  <c r="F52" i="14"/>
  <c r="B52" i="14"/>
  <c r="H51" i="14"/>
  <c r="L53" i="14" s="1"/>
  <c r="G51" i="14"/>
  <c r="E51" i="14"/>
  <c r="C51" i="14"/>
  <c r="K50" i="14"/>
  <c r="F50" i="14"/>
  <c r="B50" i="14"/>
  <c r="D50" i="14" s="1"/>
  <c r="H49" i="14"/>
  <c r="G49" i="14"/>
  <c r="E49" i="14"/>
  <c r="C49" i="14"/>
  <c r="K48" i="14"/>
  <c r="F48" i="14"/>
  <c r="B48" i="14"/>
  <c r="D48" i="14" s="1"/>
  <c r="H47" i="14"/>
  <c r="L49" i="14" s="1"/>
  <c r="G47" i="14"/>
  <c r="E47" i="14"/>
  <c r="C47" i="14"/>
  <c r="R46" i="14"/>
  <c r="Q46" i="14"/>
  <c r="P46" i="14"/>
  <c r="F46" i="14"/>
  <c r="H45" i="14"/>
  <c r="G45" i="14"/>
  <c r="E45" i="14"/>
  <c r="C45" i="14"/>
  <c r="P44" i="14"/>
  <c r="B44" i="14" s="1"/>
  <c r="F44" i="14"/>
  <c r="H43" i="14"/>
  <c r="L45" i="14" s="1"/>
  <c r="G43" i="14"/>
  <c r="E43" i="14"/>
  <c r="C43" i="14"/>
  <c r="P42" i="14"/>
  <c r="B42" i="14" s="1"/>
  <c r="F42" i="14"/>
  <c r="H41" i="14"/>
  <c r="G41" i="14"/>
  <c r="E41" i="14"/>
  <c r="C41" i="14"/>
  <c r="P40" i="14"/>
  <c r="B40" i="14" s="1"/>
  <c r="F40" i="14"/>
  <c r="H39" i="14"/>
  <c r="L41" i="14" s="1"/>
  <c r="G39" i="14"/>
  <c r="E39" i="14"/>
  <c r="C39" i="14"/>
  <c r="P38" i="14"/>
  <c r="B38" i="14" s="1"/>
  <c r="F38" i="14"/>
  <c r="H37" i="14"/>
  <c r="L39" i="14" s="1"/>
  <c r="G37" i="14"/>
  <c r="E37" i="14"/>
  <c r="C37" i="14"/>
  <c r="P36" i="14"/>
  <c r="B36" i="14" s="1"/>
  <c r="D36" i="14" s="1"/>
  <c r="F36" i="14"/>
  <c r="H35" i="14"/>
  <c r="L37" i="14" s="1"/>
  <c r="G35" i="14"/>
  <c r="E35" i="14"/>
  <c r="C35" i="14"/>
  <c r="P34" i="14"/>
  <c r="B34" i="14" s="1"/>
  <c r="F34" i="14"/>
  <c r="H33" i="14"/>
  <c r="L35" i="14" s="1"/>
  <c r="G33" i="14"/>
  <c r="E33" i="14"/>
  <c r="C33" i="14"/>
  <c r="P32" i="14"/>
  <c r="B32" i="14" s="1"/>
  <c r="F32" i="14"/>
  <c r="H31" i="14"/>
  <c r="L33" i="14" s="1"/>
  <c r="G31" i="14"/>
  <c r="E31" i="14"/>
  <c r="C31" i="14"/>
  <c r="P30" i="14"/>
  <c r="B30" i="14" s="1"/>
  <c r="F30" i="14"/>
  <c r="H29" i="14"/>
  <c r="G29" i="14"/>
  <c r="E29" i="14"/>
  <c r="C29" i="14"/>
  <c r="F28" i="14"/>
  <c r="H28" i="14" s="1"/>
  <c r="E28" i="14"/>
  <c r="C28" i="14"/>
  <c r="H27" i="14"/>
  <c r="L29" i="14" s="1"/>
  <c r="G27" i="14"/>
  <c r="E27" i="14"/>
  <c r="C27" i="14"/>
  <c r="F26" i="14"/>
  <c r="E26" i="14"/>
  <c r="C26" i="14"/>
  <c r="H25" i="14"/>
  <c r="G25" i="14"/>
  <c r="E25" i="14"/>
  <c r="C25" i="14"/>
  <c r="F24" i="14"/>
  <c r="E24" i="14"/>
  <c r="C24" i="14"/>
  <c r="H23" i="14"/>
  <c r="G23" i="14"/>
  <c r="E23" i="14"/>
  <c r="C23" i="14"/>
  <c r="K22" i="14"/>
  <c r="F22" i="14"/>
  <c r="H22" i="14" s="1"/>
  <c r="E22" i="14"/>
  <c r="C22" i="14"/>
  <c r="H21" i="14"/>
  <c r="G21" i="14"/>
  <c r="E21" i="14"/>
  <c r="C21" i="14"/>
  <c r="H20" i="14"/>
  <c r="L21" i="14" s="1"/>
  <c r="G20" i="14"/>
  <c r="E20" i="14"/>
  <c r="C20" i="14"/>
  <c r="H19" i="14"/>
  <c r="L20" i="14" s="1"/>
  <c r="G19" i="14"/>
  <c r="E19" i="14"/>
  <c r="C19" i="14"/>
  <c r="H18" i="14"/>
  <c r="L19" i="14" s="1"/>
  <c r="G18" i="14"/>
  <c r="E18" i="14"/>
  <c r="C18" i="14"/>
  <c r="H17" i="14"/>
  <c r="G17" i="14"/>
  <c r="E17" i="14"/>
  <c r="C17" i="14"/>
  <c r="H16" i="14"/>
  <c r="L17" i="14" s="1"/>
  <c r="C16" i="14"/>
  <c r="H15" i="14"/>
  <c r="C15" i="14"/>
  <c r="H14" i="14"/>
  <c r="C14" i="14"/>
  <c r="H13" i="14"/>
  <c r="L14" i="14" s="1"/>
  <c r="C13" i="14"/>
  <c r="H12" i="14"/>
  <c r="J13" i="14" s="1"/>
  <c r="C12" i="14"/>
  <c r="H11" i="14"/>
  <c r="C11" i="14"/>
  <c r="H10" i="14"/>
  <c r="C10" i="14"/>
  <c r="H9" i="14"/>
  <c r="C9" i="14"/>
  <c r="H8" i="14"/>
  <c r="C8" i="14"/>
  <c r="H7" i="14"/>
  <c r="C7" i="14"/>
  <c r="H6" i="14"/>
  <c r="C6" i="14"/>
  <c r="H5" i="14"/>
  <c r="C5" i="14"/>
  <c r="H4" i="14"/>
  <c r="I5" i="14" s="1"/>
  <c r="F104" i="13"/>
  <c r="E104" i="13"/>
  <c r="D104" i="13"/>
  <c r="C104" i="13"/>
  <c r="B104" i="13"/>
  <c r="G101" i="13"/>
  <c r="H101" i="13" s="1"/>
  <c r="I101" i="13" s="1"/>
  <c r="J101" i="13" s="1"/>
  <c r="K101" i="13" s="1"/>
  <c r="G100" i="13"/>
  <c r="H100" i="13" s="1"/>
  <c r="I100" i="13" s="1"/>
  <c r="J100" i="13" s="1"/>
  <c r="K100" i="13" s="1"/>
  <c r="G99" i="13"/>
  <c r="H99" i="13" s="1"/>
  <c r="I99" i="13" s="1"/>
  <c r="J99" i="13" s="1"/>
  <c r="K99" i="13" s="1"/>
  <c r="G98" i="13"/>
  <c r="G97" i="13"/>
  <c r="H97" i="13" s="1"/>
  <c r="J96" i="13"/>
  <c r="G96" i="13"/>
  <c r="J51" i="13"/>
  <c r="I51" i="13"/>
  <c r="H51" i="13"/>
  <c r="G51" i="13"/>
  <c r="F51" i="13"/>
  <c r="E51" i="13"/>
  <c r="D51" i="13"/>
  <c r="C51" i="13"/>
  <c r="B51" i="13"/>
  <c r="F39" i="13"/>
  <c r="E39" i="13"/>
  <c r="D39" i="13"/>
  <c r="C39" i="13"/>
  <c r="B39" i="13"/>
  <c r="H36" i="13"/>
  <c r="I36" i="13" s="1"/>
  <c r="J36" i="13" s="1"/>
  <c r="K36" i="13" s="1"/>
  <c r="G35" i="13"/>
  <c r="H35" i="13" s="1"/>
  <c r="I35" i="13" s="1"/>
  <c r="J35" i="13" s="1"/>
  <c r="K35" i="13" s="1"/>
  <c r="H34" i="13"/>
  <c r="I34" i="13" s="1"/>
  <c r="J34" i="13" s="1"/>
  <c r="K34" i="13" s="1"/>
  <c r="H33" i="13"/>
  <c r="I33" i="13" s="1"/>
  <c r="J33" i="13" s="1"/>
  <c r="K33" i="13" s="1"/>
  <c r="G32" i="13"/>
  <c r="H32" i="13" s="1"/>
  <c r="I32" i="13" s="1"/>
  <c r="J32" i="13" s="1"/>
  <c r="K32" i="13" s="1"/>
  <c r="Q31" i="13"/>
  <c r="P31" i="13"/>
  <c r="H31" i="13"/>
  <c r="I31" i="13" s="1"/>
  <c r="J31" i="13" s="1"/>
  <c r="K31" i="13" s="1"/>
  <c r="Q30" i="13"/>
  <c r="P30" i="13"/>
  <c r="Q29" i="13"/>
  <c r="P29" i="13"/>
  <c r="P28" i="13"/>
  <c r="G23" i="13"/>
  <c r="E21" i="13"/>
  <c r="D21" i="13"/>
  <c r="C21" i="13"/>
  <c r="B21" i="13"/>
  <c r="B25" i="13" s="1"/>
  <c r="H18" i="13"/>
  <c r="I18" i="13" s="1"/>
  <c r="J18" i="13" s="1"/>
  <c r="K18" i="13" s="1"/>
  <c r="G17" i="13"/>
  <c r="H17" i="13" s="1"/>
  <c r="I17" i="13" s="1"/>
  <c r="J17" i="13" s="1"/>
  <c r="K17" i="13" s="1"/>
  <c r="G16" i="13"/>
  <c r="H16" i="13" s="1"/>
  <c r="I16" i="13" s="1"/>
  <c r="J16" i="13" s="1"/>
  <c r="K16" i="13" s="1"/>
  <c r="G15" i="13"/>
  <c r="H15" i="13" s="1"/>
  <c r="I15" i="13" s="1"/>
  <c r="J15" i="13" s="1"/>
  <c r="K15" i="13" s="1"/>
  <c r="I14" i="13"/>
  <c r="J14" i="13" s="1"/>
  <c r="K14" i="13" s="1"/>
  <c r="H13" i="13"/>
  <c r="I13" i="13" s="1"/>
  <c r="J13" i="13" s="1"/>
  <c r="K13" i="13" s="1"/>
  <c r="H12" i="13"/>
  <c r="I12" i="13" s="1"/>
  <c r="J12" i="13" s="1"/>
  <c r="K12" i="13" s="1"/>
  <c r="Q11" i="13"/>
  <c r="P11" i="13"/>
  <c r="O11" i="13"/>
  <c r="Q10" i="13"/>
  <c r="P10" i="13"/>
  <c r="O10" i="13"/>
  <c r="E54" i="13" l="1"/>
  <c r="I8" i="15"/>
  <c r="I24" i="15" s="1"/>
  <c r="I49" i="15" s="1"/>
  <c r="H58" i="15"/>
  <c r="H64" i="15" s="1"/>
  <c r="K42" i="13"/>
  <c r="F54" i="13"/>
  <c r="O21" i="13"/>
  <c r="O26" i="13"/>
  <c r="Q21" i="13"/>
  <c r="Q26" i="13"/>
  <c r="B54" i="13"/>
  <c r="B91" i="13" s="1"/>
  <c r="B109" i="13" s="1"/>
  <c r="O22" i="13"/>
  <c r="O27" i="13"/>
  <c r="C54" i="13"/>
  <c r="C91" i="13" s="1"/>
  <c r="P21" i="13"/>
  <c r="P26" i="13"/>
  <c r="P27" i="13"/>
  <c r="P22" i="13"/>
  <c r="Q22" i="13"/>
  <c r="Q27" i="13"/>
  <c r="G104" i="13"/>
  <c r="J29" i="14"/>
  <c r="M29" i="14" s="1"/>
  <c r="J25" i="14"/>
  <c r="M25" i="14" s="1"/>
  <c r="I12" i="14"/>
  <c r="J5" i="14"/>
  <c r="G24" i="14"/>
  <c r="G34" i="14"/>
  <c r="G50" i="14"/>
  <c r="J31" i="14"/>
  <c r="M31" i="14" s="1"/>
  <c r="J41" i="14"/>
  <c r="M41" i="14" s="1"/>
  <c r="N41" i="14" s="1"/>
  <c r="B46" i="14"/>
  <c r="L22" i="14"/>
  <c r="J21" i="14"/>
  <c r="M21" i="14" s="1"/>
  <c r="N21" i="14" s="1"/>
  <c r="C42" i="14"/>
  <c r="J49" i="14"/>
  <c r="M49" i="14" s="1"/>
  <c r="N49" i="14" s="1"/>
  <c r="J45" i="14"/>
  <c r="M45" i="14" s="1"/>
  <c r="N45" i="14" s="1"/>
  <c r="G46" i="14"/>
  <c r="G42" i="14"/>
  <c r="J17" i="14"/>
  <c r="M17" i="14" s="1"/>
  <c r="N17" i="14" s="1"/>
  <c r="G54" i="14"/>
  <c r="G38" i="14"/>
  <c r="L18" i="14"/>
  <c r="J51" i="14"/>
  <c r="M51" i="14" s="1"/>
  <c r="G28" i="14"/>
  <c r="L47" i="14"/>
  <c r="C54" i="14"/>
  <c r="J9" i="14"/>
  <c r="L43" i="14"/>
  <c r="G52" i="14"/>
  <c r="N35" i="14"/>
  <c r="J39" i="14"/>
  <c r="M39" i="14" s="1"/>
  <c r="N39" i="14"/>
  <c r="I6" i="14"/>
  <c r="I16" i="14"/>
  <c r="G40" i="14"/>
  <c r="J14" i="14"/>
  <c r="M14" i="14" s="1"/>
  <c r="N14" i="14" s="1"/>
  <c r="J7" i="14"/>
  <c r="J15" i="14"/>
  <c r="M15" i="14" s="1"/>
  <c r="J16" i="14"/>
  <c r="M16" i="14" s="1"/>
  <c r="I23" i="14"/>
  <c r="I31" i="14"/>
  <c r="J35" i="14"/>
  <c r="M35" i="14" s="1"/>
  <c r="H24" i="14"/>
  <c r="F61" i="14"/>
  <c r="F62" i="14" s="1"/>
  <c r="F63" i="14" s="1"/>
  <c r="F64" i="14" s="1"/>
  <c r="F65" i="14" s="1"/>
  <c r="G48" i="14"/>
  <c r="J10" i="14"/>
  <c r="L16" i="14"/>
  <c r="L23" i="14"/>
  <c r="G30" i="14"/>
  <c r="L51" i="14"/>
  <c r="J19" i="14"/>
  <c r="M19" i="14" s="1"/>
  <c r="N19" i="14" s="1"/>
  <c r="G44" i="14"/>
  <c r="L31" i="14"/>
  <c r="G36" i="14"/>
  <c r="I53" i="14"/>
  <c r="H54" i="14"/>
  <c r="D61" i="14"/>
  <c r="D30" i="14"/>
  <c r="C30" i="14"/>
  <c r="D38" i="14"/>
  <c r="C38" i="14"/>
  <c r="D34" i="14"/>
  <c r="E36" i="14" s="1"/>
  <c r="C34" i="14"/>
  <c r="D32" i="14"/>
  <c r="C32" i="14"/>
  <c r="H48" i="14"/>
  <c r="L50" i="14" s="1"/>
  <c r="E50" i="14"/>
  <c r="H50" i="14"/>
  <c r="D44" i="14"/>
  <c r="C44" i="14"/>
  <c r="I22" i="14"/>
  <c r="L24" i="14"/>
  <c r="J22" i="14"/>
  <c r="M22" i="14" s="1"/>
  <c r="D40" i="14"/>
  <c r="C40" i="14"/>
  <c r="N53" i="14"/>
  <c r="C46" i="14"/>
  <c r="D46" i="14"/>
  <c r="N29" i="14"/>
  <c r="H36" i="14"/>
  <c r="I47" i="14"/>
  <c r="J47" i="14"/>
  <c r="M47" i="14" s="1"/>
  <c r="D42" i="14"/>
  <c r="I18" i="14"/>
  <c r="I37" i="14"/>
  <c r="J37" i="14"/>
  <c r="M37" i="14" s="1"/>
  <c r="N37" i="14" s="1"/>
  <c r="G22" i="14"/>
  <c r="I27" i="14"/>
  <c r="J33" i="14"/>
  <c r="M33" i="14" s="1"/>
  <c r="N33" i="14" s="1"/>
  <c r="J23" i="14"/>
  <c r="M23" i="14" s="1"/>
  <c r="J27" i="14"/>
  <c r="M27" i="14" s="1"/>
  <c r="L30" i="14"/>
  <c r="I39" i="14"/>
  <c r="C48" i="14"/>
  <c r="I49" i="14"/>
  <c r="I10" i="14"/>
  <c r="C36" i="14"/>
  <c r="J6" i="14"/>
  <c r="I43" i="14"/>
  <c r="C52" i="14"/>
  <c r="J53" i="14"/>
  <c r="M53" i="14" s="1"/>
  <c r="I11" i="14"/>
  <c r="I15" i="14"/>
  <c r="I17" i="14"/>
  <c r="L27" i="14"/>
  <c r="I14" i="14"/>
  <c r="I25" i="14"/>
  <c r="J20" i="14"/>
  <c r="M20" i="14" s="1"/>
  <c r="N20" i="14" s="1"/>
  <c r="D52" i="14"/>
  <c r="J11" i="14"/>
  <c r="I29" i="14"/>
  <c r="G32" i="14"/>
  <c r="I45" i="14"/>
  <c r="J18" i="14"/>
  <c r="M18" i="14" s="1"/>
  <c r="L25" i="14"/>
  <c r="N25" i="14" s="1"/>
  <c r="J8" i="14"/>
  <c r="J12" i="14"/>
  <c r="L15" i="14"/>
  <c r="I19" i="14"/>
  <c r="J43" i="14"/>
  <c r="M43" i="14" s="1"/>
  <c r="I7" i="14"/>
  <c r="G26" i="14"/>
  <c r="I35" i="14"/>
  <c r="I21" i="14"/>
  <c r="H26" i="14"/>
  <c r="I33" i="14"/>
  <c r="I9" i="14"/>
  <c r="I13" i="14"/>
  <c r="I41" i="14"/>
  <c r="C50" i="14"/>
  <c r="I51" i="14"/>
  <c r="I20" i="14"/>
  <c r="I8" i="14"/>
  <c r="I97" i="13"/>
  <c r="H98" i="13"/>
  <c r="I98" i="13" s="1"/>
  <c r="J98" i="13" s="1"/>
  <c r="K98" i="13" s="1"/>
  <c r="G39" i="13"/>
  <c r="E91" i="13"/>
  <c r="E109" i="13" s="1"/>
  <c r="D54" i="13"/>
  <c r="D91" i="13" s="1"/>
  <c r="D109" i="13" s="1"/>
  <c r="K96" i="13"/>
  <c r="F91" i="13"/>
  <c r="F109" i="13" s="1"/>
  <c r="K6" i="12"/>
  <c r="K31" i="12"/>
  <c r="K30" i="12"/>
  <c r="J21" i="12"/>
  <c r="J28" i="12" s="1"/>
  <c r="I21" i="12"/>
  <c r="I28" i="12" s="1"/>
  <c r="K20" i="12"/>
  <c r="K19" i="12"/>
  <c r="K18" i="12"/>
  <c r="K21" i="12" s="1"/>
  <c r="J14" i="12"/>
  <c r="J29" i="12" s="1"/>
  <c r="I14" i="12"/>
  <c r="I29" i="12" s="1"/>
  <c r="K13" i="12"/>
  <c r="K12" i="12"/>
  <c r="K11" i="12"/>
  <c r="K7" i="12"/>
  <c r="J7" i="12"/>
  <c r="J27" i="12" s="1"/>
  <c r="I7" i="12"/>
  <c r="I27" i="12" s="1"/>
  <c r="K5" i="12"/>
  <c r="C45" i="10"/>
  <c r="C44" i="10"/>
  <c r="C43" i="10"/>
  <c r="C42" i="10"/>
  <c r="C46" i="10" s="1"/>
  <c r="C38" i="10"/>
  <c r="K51" i="13" l="1"/>
  <c r="J8" i="15"/>
  <c r="J24" i="15" s="1"/>
  <c r="J49" i="15" s="1"/>
  <c r="I58" i="15"/>
  <c r="I64" i="15" s="1"/>
  <c r="C109" i="13"/>
  <c r="G54" i="13"/>
  <c r="G91" i="13" s="1"/>
  <c r="G109" i="13" s="1"/>
  <c r="N47" i="14"/>
  <c r="N22" i="14"/>
  <c r="N31" i="14"/>
  <c r="N51" i="14"/>
  <c r="N23" i="14"/>
  <c r="N16" i="14"/>
  <c r="N15" i="14"/>
  <c r="N18" i="14"/>
  <c r="J24" i="14"/>
  <c r="M24" i="14" s="1"/>
  <c r="L26" i="14"/>
  <c r="N43" i="14"/>
  <c r="I24" i="14"/>
  <c r="N24" i="14"/>
  <c r="J26" i="14"/>
  <c r="M26" i="14" s="1"/>
  <c r="N26" i="14" s="1"/>
  <c r="I26" i="14"/>
  <c r="L28" i="14"/>
  <c r="H32" i="14"/>
  <c r="E32" i="14"/>
  <c r="H52" i="14"/>
  <c r="J54" i="14" s="1"/>
  <c r="M54" i="14" s="1"/>
  <c r="E52" i="14"/>
  <c r="E34" i="14"/>
  <c r="H34" i="14"/>
  <c r="I36" i="14" s="1"/>
  <c r="N27" i="14"/>
  <c r="H46" i="14"/>
  <c r="I48" i="14" s="1"/>
  <c r="E46" i="14"/>
  <c r="H30" i="14"/>
  <c r="E30" i="14"/>
  <c r="H40" i="14"/>
  <c r="E40" i="14"/>
  <c r="E48" i="14"/>
  <c r="J28" i="14"/>
  <c r="M28" i="14" s="1"/>
  <c r="L38" i="14"/>
  <c r="H38" i="14"/>
  <c r="E38" i="14"/>
  <c r="I28" i="14"/>
  <c r="E42" i="14"/>
  <c r="H42" i="14"/>
  <c r="D62" i="14"/>
  <c r="H44" i="14"/>
  <c r="E44" i="14"/>
  <c r="J50" i="14"/>
  <c r="M50" i="14" s="1"/>
  <c r="I50" i="14"/>
  <c r="L52" i="14"/>
  <c r="E54" i="14"/>
  <c r="N50" i="14"/>
  <c r="B70" i="14"/>
  <c r="D111" i="13"/>
  <c r="D110" i="13"/>
  <c r="E111" i="13"/>
  <c r="E110" i="13"/>
  <c r="B93" i="13"/>
  <c r="H104" i="13"/>
  <c r="H39" i="13"/>
  <c r="H54" i="13" s="1"/>
  <c r="H91" i="13" s="1"/>
  <c r="H109" i="13" s="1"/>
  <c r="J97" i="13"/>
  <c r="I104" i="13"/>
  <c r="B111" i="13"/>
  <c r="B110" i="13"/>
  <c r="F111" i="13"/>
  <c r="F110" i="13"/>
  <c r="K14" i="12"/>
  <c r="K28" i="12"/>
  <c r="K29" i="12"/>
  <c r="K27" i="12"/>
  <c r="J32" i="12"/>
  <c r="I32" i="12"/>
  <c r="K35" i="8"/>
  <c r="K36" i="8"/>
  <c r="K40" i="8"/>
  <c r="K39" i="8"/>
  <c r="K38" i="8"/>
  <c r="K37" i="8"/>
  <c r="K44" i="8"/>
  <c r="K43" i="8"/>
  <c r="K42" i="8"/>
  <c r="K41" i="8"/>
  <c r="K34" i="8"/>
  <c r="K33" i="8"/>
  <c r="K32" i="8"/>
  <c r="K59" i="8"/>
  <c r="K58" i="8"/>
  <c r="I59" i="8"/>
  <c r="I58" i="8"/>
  <c r="I29" i="8"/>
  <c r="K51" i="8"/>
  <c r="K50" i="8"/>
  <c r="K49" i="8"/>
  <c r="K48" i="8"/>
  <c r="K47" i="8"/>
  <c r="K46" i="8"/>
  <c r="K45" i="8"/>
  <c r="K24" i="8"/>
  <c r="J24" i="8"/>
  <c r="J30" i="8" s="1"/>
  <c r="I24" i="8"/>
  <c r="I30" i="8" s="1"/>
  <c r="K23" i="8"/>
  <c r="K22" i="8"/>
  <c r="K21" i="8"/>
  <c r="K20" i="8"/>
  <c r="K19" i="8"/>
  <c r="K15" i="8"/>
  <c r="J15" i="8"/>
  <c r="J31" i="8" s="1"/>
  <c r="I15" i="8"/>
  <c r="I31" i="8" s="1"/>
  <c r="K31" i="8" s="1"/>
  <c r="K14" i="8"/>
  <c r="K13" i="8"/>
  <c r="K12" i="8"/>
  <c r="K11" i="8"/>
  <c r="K7" i="8"/>
  <c r="J7" i="8"/>
  <c r="J29" i="8" s="1"/>
  <c r="I7" i="8"/>
  <c r="K6" i="8"/>
  <c r="K5" i="8"/>
  <c r="K7" i="7"/>
  <c r="K50" i="7"/>
  <c r="K42" i="7"/>
  <c r="K41" i="7"/>
  <c r="K40" i="7"/>
  <c r="K39" i="7"/>
  <c r="K38" i="7"/>
  <c r="K37" i="7"/>
  <c r="K36" i="7"/>
  <c r="K35" i="7"/>
  <c r="K34" i="7"/>
  <c r="K33" i="7"/>
  <c r="K32" i="7"/>
  <c r="K31" i="7"/>
  <c r="K30" i="7"/>
  <c r="K29" i="7"/>
  <c r="K28" i="7"/>
  <c r="K27" i="7"/>
  <c r="K26" i="7"/>
  <c r="K25" i="7"/>
  <c r="K24" i="7"/>
  <c r="K17" i="7"/>
  <c r="J17" i="7"/>
  <c r="J23" i="7" s="1"/>
  <c r="I17" i="7"/>
  <c r="I23" i="7" s="1"/>
  <c r="K16" i="7"/>
  <c r="K15" i="7"/>
  <c r="K14" i="7"/>
  <c r="K13" i="7"/>
  <c r="K12" i="7"/>
  <c r="K8" i="7"/>
  <c r="J8" i="7"/>
  <c r="J22" i="7" s="1"/>
  <c r="I8" i="7"/>
  <c r="I22" i="7" s="1"/>
  <c r="K6" i="7"/>
  <c r="K5" i="7"/>
  <c r="K8" i="15" l="1"/>
  <c r="K24" i="15" s="1"/>
  <c r="K49" i="15" s="1"/>
  <c r="K58" i="15" s="1"/>
  <c r="K64" i="15" s="1"/>
  <c r="J58" i="15"/>
  <c r="J64" i="15" s="1"/>
  <c r="C111" i="13"/>
  <c r="C110" i="13"/>
  <c r="G111" i="13"/>
  <c r="G110" i="13"/>
  <c r="J48" i="14"/>
  <c r="M48" i="14" s="1"/>
  <c r="I54" i="14"/>
  <c r="I44" i="14"/>
  <c r="J44" i="14"/>
  <c r="M44" i="14" s="1"/>
  <c r="L46" i="14"/>
  <c r="J36" i="14"/>
  <c r="M36" i="14" s="1"/>
  <c r="J32" i="14"/>
  <c r="M32" i="14" s="1"/>
  <c r="I32" i="14"/>
  <c r="L34" i="14"/>
  <c r="L42" i="14"/>
  <c r="J40" i="14"/>
  <c r="M40" i="14" s="1"/>
  <c r="I40" i="14"/>
  <c r="L32" i="14"/>
  <c r="I30" i="14"/>
  <c r="J30" i="14"/>
  <c r="M30" i="14" s="1"/>
  <c r="N30" i="14" s="1"/>
  <c r="L44" i="14"/>
  <c r="J42" i="14"/>
  <c r="M42" i="14" s="1"/>
  <c r="I42" i="14"/>
  <c r="J52" i="14"/>
  <c r="M52" i="14" s="1"/>
  <c r="N52" i="14" s="1"/>
  <c r="I52" i="14"/>
  <c r="L54" i="14"/>
  <c r="N54" i="14" s="1"/>
  <c r="N28" i="14"/>
  <c r="D63" i="14"/>
  <c r="H62" i="14"/>
  <c r="I46" i="14"/>
  <c r="J46" i="14"/>
  <c r="M46" i="14" s="1"/>
  <c r="L48" i="14"/>
  <c r="N48" i="14" s="1"/>
  <c r="J38" i="14"/>
  <c r="M38" i="14" s="1"/>
  <c r="N38" i="14" s="1"/>
  <c r="I38" i="14"/>
  <c r="L40" i="14"/>
  <c r="N40" i="14" s="1"/>
  <c r="L36" i="14"/>
  <c r="I34" i="14"/>
  <c r="J34" i="14"/>
  <c r="M34" i="14" s="1"/>
  <c r="H111" i="13"/>
  <c r="H110" i="13"/>
  <c r="B106" i="13"/>
  <c r="B112" i="13" s="1"/>
  <c r="C8" i="13"/>
  <c r="C25" i="13" s="1"/>
  <c r="C93" i="13" s="1"/>
  <c r="K97" i="13"/>
  <c r="K104" i="13" s="1"/>
  <c r="J104" i="13"/>
  <c r="I39" i="13"/>
  <c r="I54" i="13" s="1"/>
  <c r="I91" i="13" s="1"/>
  <c r="I109" i="13" s="1"/>
  <c r="K32" i="12"/>
  <c r="K62" i="8"/>
  <c r="J52" i="8"/>
  <c r="K30" i="8"/>
  <c r="I52" i="8"/>
  <c r="K29" i="8"/>
  <c r="J43" i="7"/>
  <c r="K22" i="7"/>
  <c r="I43" i="7"/>
  <c r="K23" i="7"/>
  <c r="N34" i="14" l="1"/>
  <c r="N32" i="14"/>
  <c r="N44" i="14"/>
  <c r="N42" i="14"/>
  <c r="N36" i="14"/>
  <c r="D64" i="14"/>
  <c r="H63" i="14"/>
  <c r="G71" i="14"/>
  <c r="L71" i="14" s="1"/>
  <c r="H11" i="13" s="1"/>
  <c r="D71" i="14"/>
  <c r="B72" i="14"/>
  <c r="C72" i="14" s="1"/>
  <c r="N46" i="14"/>
  <c r="I110" i="13"/>
  <c r="I111" i="13"/>
  <c r="J39" i="13"/>
  <c r="J54" i="13" s="1"/>
  <c r="C106" i="13"/>
  <c r="C112" i="13" s="1"/>
  <c r="D8" i="13"/>
  <c r="D25" i="13" s="1"/>
  <c r="D93" i="13" s="1"/>
  <c r="K40" i="12"/>
  <c r="K38" i="12"/>
  <c r="K39" i="12" s="1"/>
  <c r="K52" i="8"/>
  <c r="K43" i="7"/>
  <c r="K51" i="7" s="1"/>
  <c r="K52" i="7" s="1"/>
  <c r="A52" i="7" s="1"/>
  <c r="G72" i="14" l="1"/>
  <c r="D72" i="14"/>
  <c r="B73" i="14"/>
  <c r="J63" i="14"/>
  <c r="I63" i="14"/>
  <c r="D65" i="14"/>
  <c r="H64" i="14"/>
  <c r="K39" i="13"/>
  <c r="K54" i="13" s="1"/>
  <c r="E8" i="13"/>
  <c r="E25" i="13" s="1"/>
  <c r="E93" i="13" s="1"/>
  <c r="D106" i="13"/>
  <c r="D112" i="13" s="1"/>
  <c r="J91" i="13"/>
  <c r="J109" i="13" s="1"/>
  <c r="K41" i="12"/>
  <c r="K46" i="12"/>
  <c r="K47" i="12"/>
  <c r="K63" i="8"/>
  <c r="K64" i="8" s="1"/>
  <c r="A64" i="8" s="1"/>
  <c r="H72" i="14" l="1"/>
  <c r="I72" i="14" s="1"/>
  <c r="K72" i="14" s="1"/>
  <c r="L72" i="14"/>
  <c r="I11" i="13" s="1"/>
  <c r="G73" i="14"/>
  <c r="L73" i="14" s="1"/>
  <c r="I21" i="13" s="1"/>
  <c r="D73" i="14"/>
  <c r="B74" i="14"/>
  <c r="J64" i="14"/>
  <c r="I64" i="14"/>
  <c r="H65" i="14"/>
  <c r="C73" i="14"/>
  <c r="J110" i="13"/>
  <c r="J111" i="13"/>
  <c r="F8" i="13"/>
  <c r="E106" i="13"/>
  <c r="E112" i="13" s="1"/>
  <c r="K91" i="13"/>
  <c r="K109" i="13" s="1"/>
  <c r="A41" i="12"/>
  <c r="K48" i="12"/>
  <c r="K49" i="12" s="1"/>
  <c r="A49" i="12" s="1"/>
  <c r="J11" i="13" l="1"/>
  <c r="J72" i="14"/>
  <c r="M72" i="14" s="1"/>
  <c r="H21" i="13"/>
  <c r="H73" i="14"/>
  <c r="I73" i="14" s="1"/>
  <c r="J73" i="14" s="1"/>
  <c r="M73" i="14" s="1"/>
  <c r="I65" i="14"/>
  <c r="G74" i="14"/>
  <c r="L74" i="14" s="1"/>
  <c r="D74" i="14"/>
  <c r="J65" i="14"/>
  <c r="C74" i="14"/>
  <c r="K110" i="13"/>
  <c r="K111" i="13"/>
  <c r="K53" i="6"/>
  <c r="K52" i="6"/>
  <c r="K51" i="6"/>
  <c r="K50" i="6"/>
  <c r="K49" i="6"/>
  <c r="K48" i="6"/>
  <c r="K47" i="6"/>
  <c r="K46" i="6"/>
  <c r="K45" i="6"/>
  <c r="K44" i="6"/>
  <c r="K43" i="6"/>
  <c r="K42" i="6"/>
  <c r="K41" i="6"/>
  <c r="K40" i="6"/>
  <c r="K39" i="6"/>
  <c r="K38" i="6"/>
  <c r="K37" i="6"/>
  <c r="K36" i="6"/>
  <c r="K35" i="6"/>
  <c r="K34" i="6"/>
  <c r="K33" i="6"/>
  <c r="K32" i="6"/>
  <c r="K31" i="6"/>
  <c r="K30" i="6"/>
  <c r="K29" i="6"/>
  <c r="K28" i="6"/>
  <c r="K27" i="6"/>
  <c r="K26" i="6"/>
  <c r="K25" i="6"/>
  <c r="K18" i="6"/>
  <c r="J18" i="6"/>
  <c r="J24" i="6" s="1"/>
  <c r="I18" i="6"/>
  <c r="I24" i="6" s="1"/>
  <c r="K17" i="6"/>
  <c r="K16" i="6"/>
  <c r="K15" i="6"/>
  <c r="K14" i="6"/>
  <c r="K13" i="6"/>
  <c r="K9" i="6"/>
  <c r="J9" i="6"/>
  <c r="J23" i="6" s="1"/>
  <c r="I9" i="6"/>
  <c r="I23" i="6" s="1"/>
  <c r="K8" i="6"/>
  <c r="K7" i="6"/>
  <c r="K6" i="6"/>
  <c r="K5" i="6"/>
  <c r="C12" i="1"/>
  <c r="C8" i="1"/>
  <c r="C3" i="1"/>
  <c r="D3" i="1" s="1"/>
  <c r="C2" i="1"/>
  <c r="K73" i="14" l="1"/>
  <c r="K11" i="13"/>
  <c r="K21" i="13" s="1"/>
  <c r="J21" i="13"/>
  <c r="H74" i="14"/>
  <c r="I74" i="14" s="1"/>
  <c r="J74" i="14" s="1"/>
  <c r="M74" i="14" s="1"/>
  <c r="K24" i="6"/>
  <c r="K23" i="6"/>
  <c r="J54" i="6"/>
  <c r="I54" i="6"/>
  <c r="I176" i="3"/>
  <c r="I168" i="3"/>
  <c r="K74" i="14" l="1"/>
  <c r="K54" i="6"/>
  <c r="K62" i="6" s="1"/>
  <c r="K61" i="6" l="1"/>
  <c r="K63" i="6" l="1"/>
  <c r="A63" i="6" l="1"/>
  <c r="B19" i="1" l="1"/>
  <c r="B18" i="1"/>
  <c r="B17" i="1"/>
  <c r="I160" i="3" s="1"/>
  <c r="B16" i="1"/>
  <c r="I152" i="3" s="1"/>
  <c r="K84" i="3" l="1"/>
  <c r="J84" i="3"/>
  <c r="J100" i="3" s="1"/>
  <c r="I84" i="3"/>
  <c r="I100" i="3" s="1"/>
  <c r="K83" i="3"/>
  <c r="K82" i="3"/>
  <c r="K81" i="3"/>
  <c r="K80" i="3"/>
  <c r="K79" i="3"/>
  <c r="K78" i="3"/>
  <c r="K77" i="3"/>
  <c r="K76" i="3"/>
  <c r="K75" i="3"/>
  <c r="K74" i="3"/>
  <c r="K73" i="3"/>
  <c r="K129" i="3" l="1"/>
  <c r="K128" i="3"/>
  <c r="K127" i="3"/>
  <c r="K126" i="3"/>
  <c r="K125" i="3"/>
  <c r="K124" i="3"/>
  <c r="K123" i="3"/>
  <c r="K122" i="3"/>
  <c r="K121" i="3"/>
  <c r="K120" i="3"/>
  <c r="K119" i="3"/>
  <c r="K118" i="3"/>
  <c r="K117" i="3"/>
  <c r="K116" i="3"/>
  <c r="K115" i="3"/>
  <c r="K114" i="3"/>
  <c r="K113" i="3"/>
  <c r="K112" i="3"/>
  <c r="K111" i="3"/>
  <c r="K110" i="3"/>
  <c r="K109" i="3"/>
  <c r="K108" i="3"/>
  <c r="K107" i="3"/>
  <c r="K106" i="3"/>
  <c r="K105" i="3"/>
  <c r="K104" i="3"/>
  <c r="K103" i="3"/>
  <c r="J93" i="3"/>
  <c r="J99" i="3" s="1"/>
  <c r="I93" i="3"/>
  <c r="I99" i="3" s="1"/>
  <c r="J69" i="3"/>
  <c r="J98" i="3" s="1"/>
  <c r="I69" i="3"/>
  <c r="I98" i="3" s="1"/>
  <c r="J130" i="3" l="1"/>
  <c r="I130" i="3"/>
  <c r="K102" i="3" l="1"/>
  <c r="K101" i="3"/>
  <c r="K100" i="3"/>
  <c r="K99" i="3"/>
  <c r="K98" i="3"/>
  <c r="K92" i="3"/>
  <c r="K91" i="3"/>
  <c r="K90" i="3"/>
  <c r="K89" i="3"/>
  <c r="K88" i="3"/>
  <c r="K93" i="3" s="1"/>
  <c r="K68" i="3"/>
  <c r="K67" i="3"/>
  <c r="K66" i="3"/>
  <c r="K65" i="3"/>
  <c r="K64" i="3"/>
  <c r="K63" i="3"/>
  <c r="K62" i="3"/>
  <c r="K61" i="3"/>
  <c r="K60" i="3"/>
  <c r="K59" i="3"/>
  <c r="K58" i="3"/>
  <c r="K57" i="3"/>
  <c r="K56" i="3"/>
  <c r="K55" i="3"/>
  <c r="K54" i="3"/>
  <c r="K53" i="3"/>
  <c r="K52" i="3"/>
  <c r="K51" i="3"/>
  <c r="K50" i="3"/>
  <c r="K49" i="3"/>
  <c r="K48" i="3"/>
  <c r="K47" i="3"/>
  <c r="K46" i="3"/>
  <c r="K45" i="3"/>
  <c r="K44" i="3"/>
  <c r="K43" i="3"/>
  <c r="K42" i="3"/>
  <c r="K41" i="3"/>
  <c r="K40" i="3"/>
  <c r="K39" i="3"/>
  <c r="K38" i="3"/>
  <c r="K37" i="3"/>
  <c r="K36" i="3"/>
  <c r="K35" i="3"/>
  <c r="K34" i="3"/>
  <c r="K33" i="3"/>
  <c r="K32" i="3"/>
  <c r="K31" i="3"/>
  <c r="K30" i="3"/>
  <c r="K29" i="3"/>
  <c r="K28" i="3"/>
  <c r="K27" i="3"/>
  <c r="K26" i="3"/>
  <c r="K25" i="3"/>
  <c r="K24" i="3"/>
  <c r="K23" i="3"/>
  <c r="K22" i="3"/>
  <c r="K21" i="3"/>
  <c r="K20" i="3"/>
  <c r="K19" i="3"/>
  <c r="K18" i="3"/>
  <c r="K17" i="3"/>
  <c r="K16" i="3"/>
  <c r="K15" i="3"/>
  <c r="K14" i="3"/>
  <c r="K13" i="3"/>
  <c r="K12" i="3"/>
  <c r="K11" i="3"/>
  <c r="K10" i="3"/>
  <c r="K9" i="3"/>
  <c r="K8" i="3"/>
  <c r="K7" i="3"/>
  <c r="K6" i="3"/>
  <c r="K5" i="3"/>
  <c r="K130" i="3" l="1"/>
  <c r="K138" i="3" s="1"/>
  <c r="K69" i="3"/>
  <c r="H3" i="1"/>
  <c r="I136" i="3" l="1"/>
  <c r="K154" i="3"/>
  <c r="K162" i="3"/>
  <c r="C19" i="1"/>
  <c r="C16" i="1"/>
  <c r="K160" i="3"/>
  <c r="K161" i="3" s="1"/>
  <c r="C23" i="1"/>
  <c r="C18" i="1"/>
  <c r="C17" i="1"/>
  <c r="K152" i="3"/>
  <c r="K153" i="3" s="1"/>
  <c r="K176" i="3"/>
  <c r="K177" i="3" s="1"/>
  <c r="C21" i="1"/>
  <c r="K168" i="3"/>
  <c r="K169" i="3" s="1"/>
  <c r="K178" i="3"/>
  <c r="K170" i="3"/>
  <c r="B12" i="1"/>
  <c r="B8" i="1"/>
  <c r="M136" i="3" l="1"/>
  <c r="F11" i="13"/>
  <c r="M57" i="14"/>
  <c r="K136" i="3"/>
  <c r="K137" i="3" s="1"/>
  <c r="K145" i="3" s="1"/>
  <c r="D18" i="1"/>
  <c r="D17" i="1"/>
  <c r="K163" i="3"/>
  <c r="A163" i="3" s="1"/>
  <c r="D8" i="1"/>
  <c r="K171" i="3"/>
  <c r="A171" i="3" s="1"/>
  <c r="D12" i="1"/>
  <c r="K179" i="3"/>
  <c r="A179" i="3" s="1"/>
  <c r="K155" i="3"/>
  <c r="A155" i="3" s="1"/>
  <c r="D19" i="1"/>
  <c r="F21" i="13" l="1"/>
  <c r="F25" i="13" s="1"/>
  <c r="F93" i="13" s="1"/>
  <c r="K139" i="3"/>
  <c r="K146" i="3" s="1"/>
  <c r="K147" i="3" s="1"/>
  <c r="A147" i="3" s="1"/>
  <c r="K143" i="3"/>
  <c r="G8" i="13" l="1"/>
  <c r="F106" i="13"/>
  <c r="F112" i="13" s="1"/>
  <c r="A139" i="3"/>
  <c r="H61" i="14" l="1"/>
  <c r="C70" i="14" l="1"/>
  <c r="J61" i="14"/>
  <c r="I62" i="14"/>
  <c r="G70" i="14"/>
  <c r="D70" i="14"/>
  <c r="B71" i="14"/>
  <c r="C71" i="14" s="1"/>
  <c r="H71" i="14" s="1"/>
  <c r="I71" i="14" s="1"/>
  <c r="J62" i="14"/>
  <c r="I61" i="14"/>
  <c r="H70" i="14" l="1"/>
  <c r="I70" i="14" s="1"/>
  <c r="L70" i="14"/>
  <c r="J71" i="14"/>
  <c r="M71" i="14" s="1"/>
  <c r="K71" i="14"/>
  <c r="G11" i="13" l="1"/>
  <c r="G21" i="13"/>
  <c r="G25" i="13" s="1"/>
  <c r="G93" i="13" s="1"/>
  <c r="K70" i="14"/>
  <c r="J70" i="14"/>
  <c r="M70" i="14" s="1"/>
  <c r="N57" i="14" l="1"/>
  <c r="H8" i="13"/>
  <c r="H25" i="13" s="1"/>
  <c r="H93" i="13" s="1"/>
  <c r="G106" i="13"/>
  <c r="G112" i="13" s="1"/>
  <c r="I8" i="13" l="1"/>
  <c r="I25" i="13" s="1"/>
  <c r="I93" i="13" s="1"/>
  <c r="H106" i="13"/>
  <c r="H112" i="13" s="1"/>
  <c r="J8" i="13" l="1"/>
  <c r="J25" i="13" s="1"/>
  <c r="J93" i="13" s="1"/>
  <c r="K8" i="13" s="1"/>
  <c r="I106" i="13"/>
  <c r="I112" i="13" s="1"/>
  <c r="K25" i="13" l="1"/>
  <c r="K93" i="13" s="1"/>
  <c r="K106" i="13" s="1"/>
  <c r="K112" i="13" s="1"/>
  <c r="J106" i="13"/>
  <c r="J112"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Monika Arris</author>
    <author>Teresa Moore</author>
    <author>Taylor Francis-Sloan</author>
  </authors>
  <commentList>
    <comment ref="M28" authorId="0" shapeId="0" xr:uid="{5C030065-6627-4F28-9D96-B46C8B60CFEE}">
      <text>
        <r>
          <rPr>
            <sz val="9"/>
            <color indexed="81"/>
            <rFont val="Tahoma"/>
            <family val="2"/>
          </rPr>
          <t>Includes PFP/Market AND roughly $2 million a year in employee medical (which is approx. 1% increase on its own</t>
        </r>
      </text>
    </comment>
    <comment ref="D47" authorId="1" shapeId="0" xr:uid="{77F5F70F-BF4B-4E2F-93D3-9E21195BF0CE}">
      <text>
        <r>
          <rPr>
            <sz val="9"/>
            <color indexed="81"/>
            <rFont val="Tahoma"/>
            <family val="2"/>
          </rPr>
          <t>Added transfer for Outer Loop. Consolidted Outerloop Fund with General Fund.</t>
        </r>
      </text>
    </comment>
    <comment ref="I64" authorId="0" shapeId="0" xr:uid="{2EFCD57B-2357-48B3-BC52-4EE1739416B6}">
      <text>
        <r>
          <rPr>
            <sz val="9"/>
            <color indexed="81"/>
            <rFont val="Tahoma"/>
            <family val="2"/>
          </rPr>
          <t xml:space="preserve">2 New District Courts
</t>
        </r>
      </text>
    </comment>
    <comment ref="I65" authorId="0" shapeId="0" xr:uid="{6A3FDDDE-BEB8-444D-AD90-4CD8DB2DCB84}">
      <text>
        <r>
          <rPr>
            <sz val="9"/>
            <color indexed="81"/>
            <rFont val="Tahoma"/>
            <family val="2"/>
          </rPr>
          <t>1 Probate Court</t>
        </r>
      </text>
    </comment>
    <comment ref="H70" authorId="2" shapeId="0" xr:uid="{6C889882-5429-401B-83AC-2B296E33B213}">
      <text>
        <r>
          <rPr>
            <b/>
            <sz val="9"/>
            <color indexed="81"/>
            <rFont val="Tahoma"/>
            <family val="2"/>
          </rPr>
          <t>Taylor Francis-Sloan:</t>
        </r>
        <r>
          <rPr>
            <sz val="9"/>
            <color indexed="81"/>
            <rFont val="Tahoma"/>
            <family val="2"/>
          </rPr>
          <t xml:space="preserve">
1 month recurring training/M&amp;O for (2) District Courts</t>
        </r>
      </text>
    </comment>
    <comment ref="I70" authorId="0" shapeId="0" xr:uid="{90A6B590-EBA3-434D-8300-9B3B9A79B1B0}">
      <text>
        <r>
          <rPr>
            <sz val="9"/>
            <color indexed="81"/>
            <rFont val="Tahoma"/>
            <family val="2"/>
          </rPr>
          <t>2 new District Courts</t>
        </r>
      </text>
    </comment>
    <comment ref="I71" authorId="0" shapeId="0" xr:uid="{C6F0384E-9C8D-423C-B23F-7690A8B5FF72}">
      <text>
        <r>
          <rPr>
            <sz val="9"/>
            <color indexed="81"/>
            <rFont val="Tahoma"/>
            <family val="2"/>
          </rPr>
          <t>New Probate Court</t>
        </r>
      </text>
    </comment>
    <comment ref="H73" authorId="0" shapeId="0" xr:uid="{CC436253-2083-446D-9981-38F01FCB45FC}">
      <text>
        <r>
          <rPr>
            <sz val="9"/>
            <color indexed="81"/>
            <rFont val="Tahoma"/>
            <family val="2"/>
          </rPr>
          <t>Courthouse courtroom expansion utilities and supplies</t>
        </r>
      </text>
    </comment>
    <comment ref="H76" authorId="2" shapeId="0" xr:uid="{7132B742-CD42-4AED-B796-4F9D40B70D90}">
      <text>
        <r>
          <rPr>
            <sz val="9"/>
            <color indexed="81"/>
            <rFont val="Tahoma"/>
            <family val="2"/>
          </rPr>
          <t xml:space="preserve">1 month of salaries for (2) District Courts </t>
        </r>
      </text>
    </comment>
    <comment ref="H79" authorId="2" shapeId="0" xr:uid="{DD949BE7-F3D2-499E-85C7-1CEA2AFDAEA2}">
      <text>
        <r>
          <rPr>
            <b/>
            <sz val="9"/>
            <color indexed="81"/>
            <rFont val="Tahoma"/>
            <family val="2"/>
          </rPr>
          <t>Taylor Francis-Sloan:</t>
        </r>
        <r>
          <rPr>
            <sz val="9"/>
            <color indexed="81"/>
            <rFont val="Tahoma"/>
            <family val="2"/>
          </rPr>
          <t xml:space="preserve">
noncap one-times</t>
        </r>
      </text>
    </comment>
    <comment ref="H80" authorId="2" shapeId="0" xr:uid="{3F7E8203-BD04-437A-AB9E-B5164772E732}">
      <text>
        <r>
          <rPr>
            <b/>
            <sz val="9"/>
            <color indexed="81"/>
            <rFont val="Tahoma"/>
            <family val="2"/>
          </rPr>
          <t>Taylor Francis-Sloan:</t>
        </r>
        <r>
          <rPr>
            <sz val="9"/>
            <color indexed="81"/>
            <rFont val="Tahoma"/>
            <family val="2"/>
          </rPr>
          <t xml:space="preserve">
noncap one-times</t>
        </r>
      </text>
    </comment>
    <comment ref="H85" authorId="2" shapeId="0" xr:uid="{29439393-1882-4688-8E19-F01C242F591D}">
      <text>
        <r>
          <rPr>
            <sz val="9"/>
            <color indexed="81"/>
            <rFont val="Tahoma"/>
            <family val="2"/>
          </rPr>
          <t xml:space="preserve">Capital one-times for (2) new district courts </t>
        </r>
      </text>
    </comment>
    <comment ref="H86" authorId="2" shapeId="0" xr:uid="{573BBFFD-58D6-4DCF-AAC8-F030F672AF81}">
      <text>
        <r>
          <rPr>
            <sz val="9"/>
            <color indexed="81"/>
            <rFont val="Tahoma"/>
            <family val="2"/>
          </rPr>
          <t>Capital one-times for Probate Court</t>
        </r>
      </text>
    </comment>
    <comment ref="F96" authorId="0" shapeId="0" xr:uid="{121FD323-F466-4E50-AC52-2C8B514C26D6}">
      <text>
        <r>
          <rPr>
            <sz val="9"/>
            <color indexed="81"/>
            <rFont val="Tahoma"/>
            <family val="2"/>
          </rPr>
          <t>COVID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Monika Arris</author>
  </authors>
  <commentList>
    <comment ref="M27" authorId="0" shapeId="0" xr:uid="{D4FC5DB5-7979-441A-92DC-8E0E6396E1C5}">
      <text>
        <r>
          <rPr>
            <sz val="9"/>
            <color indexed="81"/>
            <rFont val="Tahoma"/>
            <family val="2"/>
          </rPr>
          <t>Includes PFP/Market AND roughly $2 million a year in employee medical (which is approx. 1% increase on its own.
Overtime, supplemental pays, shift differential, tuition reimbursement and other things are also included in this category.</t>
        </r>
      </text>
    </comment>
  </commentList>
</comments>
</file>

<file path=xl/sharedStrings.xml><?xml version="1.0" encoding="utf-8"?>
<sst xmlns="http://schemas.openxmlformats.org/spreadsheetml/2006/main" count="1758" uniqueCount="534">
  <si>
    <t>TAX RATE DESCRIPTIONS</t>
  </si>
  <si>
    <t>Current Tax Rate</t>
  </si>
  <si>
    <t>Total No-New-Revenue Rate</t>
  </si>
  <si>
    <t>M&amp;O NNR M&amp;O Unadjusted Rate</t>
  </si>
  <si>
    <t>M&amp;O NNR Adjusted Tax Rate</t>
  </si>
  <si>
    <r>
      <t xml:space="preserve">Voter-Approved M&amp;O Rate </t>
    </r>
    <r>
      <rPr>
        <sz val="8"/>
        <color indexed="8"/>
        <rFont val="Calibri"/>
        <family val="2"/>
        <scheme val="minor"/>
      </rPr>
      <t>(3.5% over M&amp;O NNR Adjusted Rate)</t>
    </r>
  </si>
  <si>
    <t>Debt Rate</t>
  </si>
  <si>
    <t>Voter-Approved Rate</t>
  </si>
  <si>
    <t>Unused Increment Tax Rate</t>
  </si>
  <si>
    <t>LEGAL MAXIMUM TAX RATE</t>
  </si>
  <si>
    <t xml:space="preserve">Total Voter-Approved Rate with Unused Increment </t>
  </si>
  <si>
    <t>TAX RATES</t>
  </si>
  <si>
    <t>TAX REVENUE</t>
  </si>
  <si>
    <t>DIFFERENCE</t>
  </si>
  <si>
    <t>COMMENT</t>
  </si>
  <si>
    <t>Freeze Adjusted Taxable</t>
  </si>
  <si>
    <t>Adjusted Taxable Value</t>
  </si>
  <si>
    <t>Freeze Actual Tax</t>
  </si>
  <si>
    <t>New Taxable Value</t>
  </si>
  <si>
    <t>Difference between VAR and NNR</t>
  </si>
  <si>
    <t>Difference between legal max (w/o election) and NNR</t>
  </si>
  <si>
    <t>Fund</t>
  </si>
  <si>
    <t>Category</t>
  </si>
  <si>
    <t>Department/Program Name</t>
  </si>
  <si>
    <t>Department Improvement Title</t>
  </si>
  <si>
    <t>Funding</t>
  </si>
  <si>
    <t>Confidential</t>
  </si>
  <si>
    <t>SUPPORTED One-Time</t>
  </si>
  <si>
    <t>SUPPORTED Recurring</t>
  </si>
  <si>
    <t>SUPPORTED Total</t>
  </si>
  <si>
    <t>0001</t>
  </si>
  <si>
    <t>10001-0026</t>
  </si>
  <si>
    <t>10001 -  NON-DEPARTMENTAL/0026 -  CAPITAL REPLACEMENT</t>
  </si>
  <si>
    <t>Repair/Replace Funding Increase</t>
  </si>
  <si>
    <t>No</t>
  </si>
  <si>
    <t>40010-0001</t>
  </si>
  <si>
    <t>40010 -  FACILITIES &amp; PARKS/0001 -  ADMIN</t>
  </si>
  <si>
    <t>Assistant Director</t>
  </si>
  <si>
    <t>Housekeeping - Custodians</t>
  </si>
  <si>
    <t>Building Maintenance Technician I</t>
  </si>
  <si>
    <t>Maintenance Specialist</t>
  </si>
  <si>
    <t>Building Maintenance Technician II</t>
  </si>
  <si>
    <t>Grounds Keeper</t>
  </si>
  <si>
    <t>04020-0001</t>
  </si>
  <si>
    <t>04020 -  BUDGET SUPPORT SERVICES/0001 -  ADMIN</t>
  </si>
  <si>
    <t>Mail Technician PT to FT</t>
  </si>
  <si>
    <t>03001-0001</t>
  </si>
  <si>
    <t>03001 -  HUMAN RESOURCES/0001 -  ADMIN</t>
  </si>
  <si>
    <t xml:space="preserve">Human Resources Compensation Generalist </t>
  </si>
  <si>
    <t>Office Coordinator</t>
  </si>
  <si>
    <t>03020-0001</t>
  </si>
  <si>
    <t>03020 -  HUMAN RESOURCES RISK MGMT/0001 -  ADMIN</t>
  </si>
  <si>
    <t xml:space="preserve">Human Resources Risk Generalist </t>
  </si>
  <si>
    <t>03030-0001</t>
  </si>
  <si>
    <t>03030 -  HUMAN RESOURCES CIVIL SERVICE/0001 -  ADMIN</t>
  </si>
  <si>
    <t>Human Resources Civil Service Generalist</t>
  </si>
  <si>
    <t>06001-0001</t>
  </si>
  <si>
    <t>06001 -  INFORMATION TECHNOLOGY/0001 -  ADMIN</t>
  </si>
  <si>
    <t xml:space="preserve">Network Administrator - IT Operations </t>
  </si>
  <si>
    <t>1040</t>
  </si>
  <si>
    <t>60001-0001</t>
  </si>
  <si>
    <t>60001 -  HEALTHCARE SERVICES/0001 -  ADMIN</t>
  </si>
  <si>
    <t>Compliance Manager</t>
  </si>
  <si>
    <t>Senior Eligibility Clerk</t>
  </si>
  <si>
    <t>31001-0001</t>
  </si>
  <si>
    <t>31001 -  TAX ASSESSOR/COLLECTOR/0001 -  ADMIN</t>
  </si>
  <si>
    <t>Title Specialist- Operations</t>
  </si>
  <si>
    <t>08001-0001</t>
  </si>
  <si>
    <t>08001 -  COUNTY CLERK/0001 -  ADMIN</t>
  </si>
  <si>
    <t>Deputy County Clerk II - Land and Vitals</t>
  </si>
  <si>
    <t>23001-0001</t>
  </si>
  <si>
    <t>23001 -  DISTRICT CLERK/0001 -  ADMIN</t>
  </si>
  <si>
    <t>Deputy District Clerk II - QC Criminal</t>
  </si>
  <si>
    <t>08020-0001</t>
  </si>
  <si>
    <t>08020 -  COUNTY COURT AT LAW CLERKS/0001 -  ADMIN</t>
  </si>
  <si>
    <t>Deputy County Clerk II-Quality Control Clerk</t>
  </si>
  <si>
    <t>Deputy District Clerk II - Crim Case Mgmt</t>
  </si>
  <si>
    <t>Registration Clerk II- MV Counter</t>
  </si>
  <si>
    <t>Deputy District Clerk I - Front Counter Civil/Family</t>
  </si>
  <si>
    <t>02001-0001</t>
  </si>
  <si>
    <t>02001 -  ADMINISTRATIVE SERVICES/0001 -  ADMIN</t>
  </si>
  <si>
    <t>Administration Building Receptionist</t>
  </si>
  <si>
    <t>55020-0001</t>
  </si>
  <si>
    <t>55020 -  CONSTABLE PCT2/0001 -  ADMIN</t>
  </si>
  <si>
    <t>Legal Clerk I </t>
  </si>
  <si>
    <t>57001-0001</t>
  </si>
  <si>
    <t>57001 -  FIRE MARSHAL/0001 -  ADMIN</t>
  </si>
  <si>
    <t>Deputy Fire Marshal</t>
  </si>
  <si>
    <t>75020-0001</t>
  </si>
  <si>
    <t>75020 -  ENGINEERING/0001 -  ADMIN</t>
  </si>
  <si>
    <t>Senior Civil Engineer-Development</t>
  </si>
  <si>
    <t>TB Health Care Analyst</t>
  </si>
  <si>
    <t>1010</t>
  </si>
  <si>
    <t>75001-0001</t>
  </si>
  <si>
    <t>75001 -  ROAD &amp; BRIDGE/0001 -  ADMIN</t>
  </si>
  <si>
    <t>Equipment Operators</t>
  </si>
  <si>
    <t>Title Specialist-  Frisco Counter, QC</t>
  </si>
  <si>
    <t>Deputy Constable</t>
  </si>
  <si>
    <t>24020-0001</t>
  </si>
  <si>
    <t>24020 -  JUSTICE OF THE PEACE PCT2/0001 -  ADMIN</t>
  </si>
  <si>
    <t>Legal Clerk I</t>
  </si>
  <si>
    <t>55040-0001</t>
  </si>
  <si>
    <t>55040 -  CONSTABLE PCT4/0001 -  ADMIN</t>
  </si>
  <si>
    <t>55030-0001</t>
  </si>
  <si>
    <t>55030 -  CONSTABLE PCT3/0001 -  ADMIN</t>
  </si>
  <si>
    <t>55010-0001</t>
  </si>
  <si>
    <t>55010 -  CONSTABLE PCT1/0001 -  ADMIN</t>
  </si>
  <si>
    <t>24010-0001</t>
  </si>
  <si>
    <t>24010 -  JUSTICE OF THE PEACE PCT1/0001 -  ADMIN</t>
  </si>
  <si>
    <t>08060-0001</t>
  </si>
  <si>
    <t>08060 -  COUNTY CLERK PROBATE/MENTAL/0001 -  ADMIN</t>
  </si>
  <si>
    <t>Deputy County Clerk II-Quality Control (2)</t>
  </si>
  <si>
    <t>5990</t>
  </si>
  <si>
    <t>83001-0001</t>
  </si>
  <si>
    <t>83001 -  ANIMAL SHELTER/0001 -  ADMIN</t>
  </si>
  <si>
    <t>Veterinary Technician</t>
  </si>
  <si>
    <t>83030-0001</t>
  </si>
  <si>
    <t>83030 -  ANIMAL CONTROL/0001 -  ADMIN</t>
  </si>
  <si>
    <t>F/T Animal Control Officer</t>
  </si>
  <si>
    <t>Overtime Funds</t>
  </si>
  <si>
    <t>44001-0001</t>
  </si>
  <si>
    <t>44001 -  EQUIPMENT SERVICES/0001 -  ADMIN</t>
  </si>
  <si>
    <t>62090-0001</t>
  </si>
  <si>
    <t>62090 -  INDIGENT DEFENSE COORDINATOR/0001 -  ADMIN</t>
  </si>
  <si>
    <t>Legal Clerk II</t>
  </si>
  <si>
    <t>Deputy District Clerk II - Case Mgmt Warrants/Bond</t>
  </si>
  <si>
    <t>50030-0001</t>
  </si>
  <si>
    <t>50030 -  SO JAIL OPERATIONS/0001 -  ADMIN</t>
  </si>
  <si>
    <t>Jail Case Officer</t>
  </si>
  <si>
    <t>50001-0001</t>
  </si>
  <si>
    <t>50001 -  SHERIFF'S OFFICE/0001 -  ADMIN</t>
  </si>
  <si>
    <t>Deputy Sheriff - GHOST</t>
  </si>
  <si>
    <t>Sergeant - Narcotics</t>
  </si>
  <si>
    <t>21099-0001</t>
  </si>
  <si>
    <t>21099 -  COUNTY COURTS PROBATE/0001 -  ADMIN</t>
  </si>
  <si>
    <t>Court Officer</t>
  </si>
  <si>
    <t>Sergeant - Mental Health</t>
  </si>
  <si>
    <t>Communications Specialist</t>
  </si>
  <si>
    <t>78020-0001</t>
  </si>
  <si>
    <t>78020 -  MYERS PARK FARM MUSEUM/0001 -  ADMIN</t>
  </si>
  <si>
    <t>Change reporting structure for Myers Park Farm Museum</t>
  </si>
  <si>
    <t>35001-0001</t>
  </si>
  <si>
    <t>35001 - DISTRICT ATTORNEY/0001 ADMIN</t>
  </si>
  <si>
    <t>Deputy Misdemeanor Chief - Felony Prosecutor</t>
  </si>
  <si>
    <t>05001-0001</t>
  </si>
  <si>
    <t>05001 -  ELECTIONS/0001 -  ADMIN</t>
  </si>
  <si>
    <t>Elections Training Coordinator</t>
  </si>
  <si>
    <t>Pre-Indictment Public Safety Prosecutor - Felony Prosecutor</t>
  </si>
  <si>
    <t>78001-0001</t>
  </si>
  <si>
    <t>78001 -  MYERS PARK/0001 -  ADMIN</t>
  </si>
  <si>
    <t>Change reporting structure for Myers Park</t>
  </si>
  <si>
    <t xml:space="preserve">Department Move of (1) Housekeeping Day Porter PT </t>
  </si>
  <si>
    <t>Lead Clerk</t>
  </si>
  <si>
    <t>Trimble - 3D Crime Scene Mapping</t>
  </si>
  <si>
    <t>Redaction Software</t>
  </si>
  <si>
    <t>06050-0001</t>
  </si>
  <si>
    <t>06050 -  INFORMATION TECHNOLOGY GIS/0001 -  ADMIN</t>
  </si>
  <si>
    <t>Nearmap Orthophoto Subscription</t>
  </si>
  <si>
    <t>Winter Weather Operations</t>
  </si>
  <si>
    <t xml:space="preserve">Tool Allowance Increase </t>
  </si>
  <si>
    <t>40030-0001</t>
  </si>
  <si>
    <t>40030 -  BUILDING SUPERINTENDENT/0001 -  ADMIN</t>
  </si>
  <si>
    <t>Bluebeam License and Yearly Subscription</t>
  </si>
  <si>
    <t>Education and Conference</t>
  </si>
  <si>
    <t>06019-0009</t>
  </si>
  <si>
    <t>Yes</t>
  </si>
  <si>
    <t>20060-0001</t>
  </si>
  <si>
    <t>20060 -  COUNTY COURT AT LAW 6/0001 -  ADMIN</t>
  </si>
  <si>
    <t>Increase to Education and Conference</t>
  </si>
  <si>
    <t>25416-0001</t>
  </si>
  <si>
    <t>25416 - 416TH DISTRICT COURT/0001 - ADMIN</t>
  </si>
  <si>
    <t>25417-0001</t>
  </si>
  <si>
    <t>25417 - 417TH DISTRICT COURT/0001 -  ADMIN</t>
  </si>
  <si>
    <t>Oscillating Wall Mount Fans</t>
  </si>
  <si>
    <t>Restoration Budget Line Increase</t>
  </si>
  <si>
    <t>Outer Loop Fund</t>
  </si>
  <si>
    <t>Official Court Reporter</t>
  </si>
  <si>
    <t>Department / Program #</t>
  </si>
  <si>
    <t>ADD? 
(YES / NO)</t>
  </si>
  <si>
    <t>Comments</t>
  </si>
  <si>
    <t>Dept. Priority #</t>
  </si>
  <si>
    <t>Admin Priority #</t>
  </si>
  <si>
    <t>YES</t>
  </si>
  <si>
    <t>One-Time</t>
  </si>
  <si>
    <t>Recurring</t>
  </si>
  <si>
    <t>Total</t>
  </si>
  <si>
    <t>ALL</t>
  </si>
  <si>
    <t>Elected Officials PFP</t>
  </si>
  <si>
    <t>Employee Market Movement (1st paycheck in Jan.)</t>
  </si>
  <si>
    <t>Employee PFP - 3% Average</t>
  </si>
  <si>
    <t>TOTAL BUDGET DEPARTMENT SUPPORTED REQUESTS ADDED TO THE RECOMMENDED BUDGET</t>
  </si>
  <si>
    <t>TOTAL SALARY CHANGES ADDED TO THE RECOMMENDED BUDGET</t>
  </si>
  <si>
    <t>YOUR TOTAL RECOMMENDED GENERAL FUND BUDGET</t>
  </si>
  <si>
    <t>RECOMMENDED BUDGET START</t>
  </si>
  <si>
    <t>Description</t>
  </si>
  <si>
    <t>Supported Requests Added Above</t>
  </si>
  <si>
    <t>Salary Changes Added Above</t>
  </si>
  <si>
    <t>50060-0001</t>
  </si>
  <si>
    <t>50060 -  SHERIFF'S OFFICE FUSION CENTER/0001 -  ADMIN</t>
  </si>
  <si>
    <t>65010-0001</t>
  </si>
  <si>
    <t>65010 - HISTORICAL COMMISION - ADMIN</t>
  </si>
  <si>
    <t>0029</t>
  </si>
  <si>
    <t>50040-0001</t>
  </si>
  <si>
    <t>50040 -  SO COURTHOUSE SECURITY/0001 -  ADMIN</t>
  </si>
  <si>
    <t>1025</t>
  </si>
  <si>
    <t>08040-0001</t>
  </si>
  <si>
    <t>08040 -  COUNTY CLERK RECORDS/0001 -  ADMIN</t>
  </si>
  <si>
    <t>1037</t>
  </si>
  <si>
    <t>35001-0006</t>
  </si>
  <si>
    <t>35001 -  DISTRICT ATTORNEY/0006 -  STATE FORF</t>
  </si>
  <si>
    <t>1060</t>
  </si>
  <si>
    <t>35002-0001</t>
  </si>
  <si>
    <t>35002 -  DA FEDERAL TASK FORCE/0001 -  ADMIN</t>
  </si>
  <si>
    <t>Program Manager - AI Implementations</t>
  </si>
  <si>
    <t>Tyler AI Document Automation</t>
  </si>
  <si>
    <t>Tyler AI Assisted Case Filing Automation</t>
  </si>
  <si>
    <t>AI Assisted Search Engine</t>
  </si>
  <si>
    <t>County Computers</t>
  </si>
  <si>
    <t>Deputy Sheriff - Patrol</t>
  </si>
  <si>
    <t>Jail Sergeant</t>
  </si>
  <si>
    <t>Detention Officer - Classification</t>
  </si>
  <si>
    <t>Detention Officer - Constant Watch</t>
  </si>
  <si>
    <t>Research Analyst</t>
  </si>
  <si>
    <t>Increase in Funding</t>
  </si>
  <si>
    <t>Security Guards</t>
  </si>
  <si>
    <t>Kleio Kofile AI Document Repository</t>
  </si>
  <si>
    <t>Adding Line Items into the Budget</t>
  </si>
  <si>
    <t>Add Line Items to Budget</t>
  </si>
  <si>
    <t>NEUTRAL One-Time</t>
  </si>
  <si>
    <t>NEUTRAL Recurring</t>
  </si>
  <si>
    <t>TOTAL BUDGET DEPARTMENT NEUTRAL REQUESTS ADDED TO THE RECOMMENDED BUDGET</t>
  </si>
  <si>
    <t>NO</t>
  </si>
  <si>
    <t>Neutral Requests Added Above</t>
  </si>
  <si>
    <r>
      <t xml:space="preserve">REVENUE ESTIMATE - OTHER REVENUES </t>
    </r>
    <r>
      <rPr>
        <sz val="8"/>
        <color theme="1"/>
        <rFont val="Calibri"/>
        <family val="2"/>
        <scheme val="minor"/>
      </rPr>
      <t>(FINES, FEES, INTERGOVERNMENTAL, INVESTMENT, ETC.)</t>
    </r>
  </si>
  <si>
    <t>NO NEW REVENUE TAX RATE</t>
  </si>
  <si>
    <t>Tax Rate</t>
  </si>
  <si>
    <t>Revenue Generated</t>
  </si>
  <si>
    <t>TAX RATES BY FUND</t>
  </si>
  <si>
    <t>GENERAL FUND</t>
  </si>
  <si>
    <t>No-New Revenue Rate</t>
  </si>
  <si>
    <t>Total Voter-Approved Rate with unused Increment</t>
  </si>
  <si>
    <t>PERMANENT IMPROVEMENT FUND</t>
  </si>
  <si>
    <t>DEBT SERVICE FUND</t>
  </si>
  <si>
    <t>CURRENT TAX RATE</t>
  </si>
  <si>
    <t>VOTER APPROVAL RATE</t>
  </si>
  <si>
    <t>VOTER APPROVAL PLUS UNUSED INCREMENT RATE</t>
  </si>
  <si>
    <t>NO NEW REVENUE PROPERTY TAX RATE - TOTAL GENERAL FUND REVENUE</t>
  </si>
  <si>
    <t>NO NEW REVENUE TOTAL GENERAL FUND REVENUE</t>
  </si>
  <si>
    <t>CURRENT PROPERTY TAX RATE - TOTAL GENERAL FUND REVENUE</t>
  </si>
  <si>
    <t>CURRENT TAX RATE TOTAL GENERAL FUND REVENUE</t>
  </si>
  <si>
    <t>VOTER APPROVAL PROPERTY TAX RATE - TOTAL GENERAL FUND REVENUE</t>
  </si>
  <si>
    <t>VOTER APPROVAL PLUS UNUSED INCREMENT PROPERTY TAX RATE - TOTAL GENERAL FUND REVENUE</t>
  </si>
  <si>
    <t>TAX RATE NEEDED TO BALANCE YOUR BUDGET</t>
  </si>
  <si>
    <t>NON-DEPARTMNTAL CONTINGENCY</t>
  </si>
  <si>
    <t>Difference between current tax rate and NNR</t>
  </si>
  <si>
    <t>YOUR FINAL TOTAL RECOMMENDED GENERAL FUND BALANCED BUDGET</t>
  </si>
  <si>
    <t>10001-0001</t>
  </si>
  <si>
    <t>EXCESS REVENUES GENERATED USING YOUR TAX RATE</t>
  </si>
  <si>
    <t>The 6-digit tax rate generates more tax dollars that needed for the budget.  This amount will go into non-departmental contingency to balance revenues to expenditures.</t>
  </si>
  <si>
    <t>TRANSFER FROM GENERAL FUND</t>
  </si>
  <si>
    <t>YOUR TOTAL RECOMMENDED ROAD &amp; BRIDGE FUND BUDGET</t>
  </si>
  <si>
    <t>ROAD &amp; BRIDGE FUND REVENUE</t>
  </si>
  <si>
    <t>HEALTHCARE FUND</t>
  </si>
  <si>
    <t>ROAD &amp; BRIDGE FUND</t>
  </si>
  <si>
    <t>YOUR TOTAL RECOMMENDED HEALTHCARE FUND BUDGET</t>
  </si>
  <si>
    <t>HEALTHCARE FUND REVENUE</t>
  </si>
  <si>
    <t>BUDGET DEPARTMENT SUPPORTED REQUESTS (ADMIN PRIORITY ORDER) - GENERAL FUND</t>
  </si>
  <si>
    <t>BUDGET DEPARTMENT NEUTRAL REQUESTS - GENERAL FUND</t>
  </si>
  <si>
    <t>SALARY CHANGES TO INCLUDE IN THE BUDGET - GENERAL FUND</t>
  </si>
  <si>
    <t>YOUR UPDATED TOTAL RECOMMENDED BUDGET - GENERAL FUND</t>
  </si>
  <si>
    <t>REVENUES NEEDED TO BALANCE YOUR GENERAL FUND BUDGET</t>
  </si>
  <si>
    <t>BUDGET DEPARTMENT SUPPORTED REQUESTS (ADMIN PRIORITY ORDER) - ROAD &amp; BRIDGE FUND</t>
  </si>
  <si>
    <t>SALARY CHANGES TO INCLUDE IN THE BUDGET - ROAD &amp; BRIDGE FUND</t>
  </si>
  <si>
    <t>REVENUES NEEDED TO BALANCE YOUR ROAD &amp; BRIDGE FUND BUDGET</t>
  </si>
  <si>
    <t>BUDGET DEPARTMENT SUPPORTED REQUESTS (ADMIN PRIORITY ORDER) - HEALTHCARE FUND</t>
  </si>
  <si>
    <t>SALARY CHANGES TO INCLUDE IN THE BUDGET - HEALTHCARE FUND</t>
  </si>
  <si>
    <t>YOUR UPDATED TOTAL RECOMMENDED BUDGET - HEALTHCARE FUND</t>
  </si>
  <si>
    <t>BUDGET DEPARTMENT SUPPORTED REQUESTS (ADMIN PRIORITY ORDER) - OTHER FUNDS</t>
  </si>
  <si>
    <t>BUDGET DEPARTMENT NEUTRAL REQUESTS - OTHER FUNDS</t>
  </si>
  <si>
    <t>SALARY CHANGES TO INCLUDE IN THE BUDGET - OTHER FUNDS</t>
  </si>
  <si>
    <t>YOUR UPDATED TOTAL RECOMMENDED BUDGET - OTHER FUNDS</t>
  </si>
  <si>
    <t>OTHER FUNDS</t>
  </si>
  <si>
    <t>SELECT OPTIONS BELOW TO BUILD YOUR OWN BUDGET - GENERAL FUND</t>
  </si>
  <si>
    <t>SELECT OPTIONS BELOW TO BUILD YOUR OWN BUDGET - ROAD &amp; BRIDGE FUND</t>
  </si>
  <si>
    <t>SELECT OPTIONS BELOW TO BUILD YOUR OWN BUDGET - HEALTHCARE FUND</t>
  </si>
  <si>
    <t>SELECT OPTIONS BELOW TO BUILD YOUR OWN BUDGET - OTHER FUNDS</t>
  </si>
  <si>
    <t>YOUR TOTAL RECOMMENDED OTHER FUND BUDGET</t>
  </si>
  <si>
    <t>REVENUES NEEDED TO BALANCE YOUR BUDGET - HEALTHCARE FUND</t>
  </si>
  <si>
    <t>REVENUES NEEDED TO BALANCE YOUR BUDGET - OTHER FUNDS</t>
  </si>
  <si>
    <t>OTHER FUNDS REVENUE</t>
  </si>
  <si>
    <t>YOUR TOTAL RECOMMENDED OTHER FUNDS BUDGET</t>
  </si>
  <si>
    <t>0449</t>
  </si>
  <si>
    <t>PERMENANT IMPROVEMENT FUND</t>
  </si>
  <si>
    <t>3001</t>
  </si>
  <si>
    <t>PROPERTY TAXES</t>
  </si>
  <si>
    <t>COURTHOUSE SECURITY FUND</t>
  </si>
  <si>
    <t>6800</t>
  </si>
  <si>
    <t>CPS BOARD FUND</t>
  </si>
  <si>
    <t>YOUR UPDATED TOTAL RECOMMENDED BUDGET - ROAD &amp; BRIDGE FUND</t>
  </si>
  <si>
    <t>FY 2027 Budget Department Supported Requests</t>
  </si>
  <si>
    <t>Category #</t>
  </si>
  <si>
    <t>Category Description</t>
  </si>
  <si>
    <t>Improving County Internal Infrastructure and Processes</t>
  </si>
  <si>
    <t>supports investments in county human capital and infrastructure; necessary personnel for process improvements</t>
  </si>
  <si>
    <t>General Fund (0001)</t>
  </si>
  <si>
    <t>Healthcare Foundation (1040)</t>
  </si>
  <si>
    <t>Courthouse and Admin Customer Service Improvement</t>
  </si>
  <si>
    <t>supports improvements to Tax Assessor-Collector, County Clerk, and District Clerk offices' customer service needs. Specifically, increasing personnel and infrastructure to reduce wait times</t>
  </si>
  <si>
    <t>Substantiated Need Due to Increased Workload</t>
  </si>
  <si>
    <t>supports departments with needed personnel due to a substantiated increase in workload</t>
  </si>
  <si>
    <t>Road &amp; Bridge Fund (1010)</t>
  </si>
  <si>
    <t>Animal Safety Fund (5990)</t>
  </si>
  <si>
    <t>supports county programs and services through software and capital expenditures</t>
  </si>
  <si>
    <t>Supported for regulatory/statutory compliance</t>
  </si>
  <si>
    <t xml:space="preserve">supports departments meeting regulatory/statutory compliance </t>
  </si>
  <si>
    <t>Other</t>
  </si>
  <si>
    <t>supports departments and county services through a needed solution</t>
  </si>
  <si>
    <t>Department 1 /Program</t>
  </si>
  <si>
    <t>Department 2 / Program</t>
  </si>
  <si>
    <t>Title 1</t>
  </si>
  <si>
    <t>Title 2</t>
  </si>
  <si>
    <t>Department 3 /Program</t>
  </si>
  <si>
    <t>Department 4 / Program</t>
  </si>
  <si>
    <t>Title 4</t>
  </si>
  <si>
    <t>Title 3</t>
  </si>
  <si>
    <t>Department 5 / Program</t>
  </si>
  <si>
    <t>Title 5</t>
  </si>
  <si>
    <t>1. Select "YES" or "NO" in Column L for any items you would like to include in the Recommended Budget.  Each Section will total the items you selected "YES".</t>
  </si>
  <si>
    <t>A FUND</t>
  </si>
  <si>
    <t>Things I want to add go here</t>
  </si>
  <si>
    <t>2. This section will add the total "YES" items above to the Recommended Budget.  Here you can add or subtract items.  Make sure to enter "YES" next to your own additions/subtractions</t>
  </si>
  <si>
    <t>Department Name</t>
  </si>
  <si>
    <t>Things I want to subtract go here</t>
  </si>
  <si>
    <t>3. This section will show you the revenue estimate broken out by Taxes, Transfers from General Fund (if any), and Other Revenues.  It will total your revenues and compare it to the expenditure budget you created above.  The row in green will let you know if you have exceeded your budget, have more revenue than expenditures or have a perfectly balanced budget.</t>
  </si>
  <si>
    <t>4. The tax rate is adopted with 6-digits after the decimal.  The formulas above calculate the tax rate needed to balance your budget.  Due to the 6-digit limitation, there is often a little extra revenue generated. This section shows the extra and places it in contingency as a default.  The location for these extra funds can go wherever you wish.  This is the section to designate where those funds will be budgeted.</t>
  </si>
  <si>
    <t xml:space="preserve">Reorganization (Personnel) for greater efficiency </t>
  </si>
  <si>
    <t>supports department reorganization plans to increase department efficiency or meet changing community/statutory/regulatory needs</t>
  </si>
  <si>
    <t>Non-personnel solutions for greater efficiency</t>
  </si>
  <si>
    <t>Collin County</t>
  </si>
  <si>
    <t>GENERAL FUND (0001)</t>
  </si>
  <si>
    <t>FY 2023 - FY 2032</t>
  </si>
  <si>
    <t xml:space="preserve">The general operating fund of the County.  The General Fund is used to account for all financial resources except those required to be accounted for in another fund.  Primary expenditures are for general administration, public safety, and judicial, state prosecution, and capital outlay.  </t>
  </si>
  <si>
    <t>FY 2023</t>
  </si>
  <si>
    <t>FY 2024</t>
  </si>
  <si>
    <t>FY 2025</t>
  </si>
  <si>
    <t>FY 2026</t>
  </si>
  <si>
    <t>FY 2027</t>
  </si>
  <si>
    <t>FY 2028</t>
  </si>
  <si>
    <t>FY 2029</t>
  </si>
  <si>
    <t>FY 2030</t>
  </si>
  <si>
    <t>FY 2031</t>
  </si>
  <si>
    <t>FY 2032</t>
  </si>
  <si>
    <t>ACTUAL</t>
  </si>
  <si>
    <t>YE PROJECTION</t>
  </si>
  <si>
    <t>PROJECTED</t>
  </si>
  <si>
    <t>BEGINNING BALANCE</t>
  </si>
  <si>
    <t>Actual to Actual Growth</t>
  </si>
  <si>
    <t>REVENUE</t>
  </si>
  <si>
    <t>GROWTH FACTOR</t>
  </si>
  <si>
    <t>TAXES</t>
  </si>
  <si>
    <t>FEES/CHARGES FOR SERVICES</t>
  </si>
  <si>
    <t>FINES</t>
  </si>
  <si>
    <t>INSURANCE/EMPLOYEE BENEFT</t>
  </si>
  <si>
    <t>INTERGOVERNMENTAL REV</t>
  </si>
  <si>
    <t>INVESTMENT REVENUES</t>
  </si>
  <si>
    <t>LICENSE &amp; PERMITS</t>
  </si>
  <si>
    <t>OTHER REVENUE</t>
  </si>
  <si>
    <t>______________</t>
  </si>
  <si>
    <t>TOTAL REVENUES</t>
  </si>
  <si>
    <t>OTHER FINANCING SOURCES</t>
  </si>
  <si>
    <t>TOTAL RESOURCES</t>
  </si>
  <si>
    <t>EXPENDITURES</t>
  </si>
  <si>
    <t>SALARY &amp; BENEFITS</t>
  </si>
  <si>
    <t>TRAINING &amp; TRAVEL</t>
  </si>
  <si>
    <t>MAINTENANCE &amp; OPERATIONS</t>
  </si>
  <si>
    <t>CAPITAL OUTLAY</t>
  </si>
  <si>
    <t>DEBT SERVICE</t>
  </si>
  <si>
    <t>TCDRS One-Time Payment</t>
  </si>
  <si>
    <t>TCDRS COLA One-Time Payment</t>
  </si>
  <si>
    <t>Large One-Time Road Expenditure</t>
  </si>
  <si>
    <t>Other One-Time Expenditure</t>
  </si>
  <si>
    <t>SUB-TOTAL EXPENDITURES</t>
  </si>
  <si>
    <t>TRANSFERS</t>
  </si>
  <si>
    <r>
      <t xml:space="preserve">OUTERLOOP </t>
    </r>
    <r>
      <rPr>
        <sz val="8"/>
        <rFont val="Calibri"/>
        <family val="2"/>
        <scheme val="minor"/>
      </rPr>
      <t>(CLOSING OF FUND)</t>
    </r>
  </si>
  <si>
    <t>OTHER</t>
  </si>
  <si>
    <t>SUB-TOTAL TRANSFERS</t>
  </si>
  <si>
    <t>TOTAL EXPENDITURES W/TRANSFERS</t>
  </si>
  <si>
    <t>NEW RECURRING PERSONNEL</t>
  </si>
  <si>
    <t>NEW RECURRING M&amp;O</t>
  </si>
  <si>
    <t>NEW ONE-TIME M&amp;O</t>
  </si>
  <si>
    <t>NEW ONE-TIME CAPITAL</t>
  </si>
  <si>
    <t>TOTAL APPROPRIATIONS</t>
  </si>
  <si>
    <t>ENDING BALANCE</t>
  </si>
  <si>
    <t>RESERVED-OUTER LOOP</t>
  </si>
  <si>
    <t>RESERVED</t>
  </si>
  <si>
    <t>COM-CAPITAL TRIALS</t>
  </si>
  <si>
    <t>COM-SPECIAL ELECTIONS</t>
  </si>
  <si>
    <t>COM-UTILITIES</t>
  </si>
  <si>
    <t>COM-LARS PROJECTS</t>
  </si>
  <si>
    <t>COM-SURETY BD DIST-CNTY CLERK</t>
  </si>
  <si>
    <t>TOTAL RESERVES</t>
  </si>
  <si>
    <t>FUND BALANCE AFTER RESERVES</t>
  </si>
  <si>
    <t>1 Day of Fund Balance</t>
  </si>
  <si>
    <t>120 Days of Fund Balance</t>
  </si>
  <si>
    <t>180 Days of Fund Balance</t>
  </si>
  <si>
    <t># Days of Fund Balance</t>
  </si>
  <si>
    <t>Collin County Appraised Values</t>
  </si>
  <si>
    <t>Tax Year</t>
  </si>
  <si>
    <t>Net Taxable**</t>
  </si>
  <si>
    <t>% change</t>
  </si>
  <si>
    <t>Total Increase</t>
  </si>
  <si>
    <t>% Increase New Construction</t>
  </si>
  <si>
    <t>% Increase Existing Value</t>
  </si>
  <si>
    <t>Total % increase</t>
  </si>
  <si>
    <t>NOT Under ARB Review Totals
Net Taxable</t>
  </si>
  <si>
    <t>Lower Value Used
Total Value Used</t>
  </si>
  <si>
    <t>Under ARB Review Totals
Total Exemption</t>
  </si>
  <si>
    <t>NOT Under ARB Review Totals
Freeze Taxable</t>
  </si>
  <si>
    <t>NOT Under ARB Review Totals
Transfer Adjusted Taxable Value</t>
  </si>
  <si>
    <t>Under ARB Review Totals
Freeze Taxable</t>
  </si>
  <si>
    <t>Under ARB Review Totals
Transfer Adjustment Taxable</t>
  </si>
  <si>
    <t>2010
Certified</t>
  </si>
  <si>
    <t>2010
Lower Value Used</t>
  </si>
  <si>
    <t>2011
Certified</t>
  </si>
  <si>
    <t>2011
Lower Value Used</t>
  </si>
  <si>
    <t>2012
Certified</t>
  </si>
  <si>
    <t>2012
Lower Value Used</t>
  </si>
  <si>
    <t>2013
Certified</t>
  </si>
  <si>
    <t>2013
Lower Value Used</t>
  </si>
  <si>
    <t>2014
Certified</t>
  </si>
  <si>
    <t>2014
Lower Value Used</t>
  </si>
  <si>
    <t>2015
Certified</t>
  </si>
  <si>
    <t>2015
Lower Value Used</t>
  </si>
  <si>
    <t>2016
Certified</t>
  </si>
  <si>
    <t>2016
Lower Value Used</t>
  </si>
  <si>
    <t>2017
Certified</t>
  </si>
  <si>
    <t>2017
Lower Value Used</t>
  </si>
  <si>
    <t>2018
Certified</t>
  </si>
  <si>
    <t>2018
Lower Value Used</t>
  </si>
  <si>
    <t>2019
Certified</t>
  </si>
  <si>
    <t>2019
Lower Value Used</t>
  </si>
  <si>
    <t>2020
Certified ESTIMATE</t>
  </si>
  <si>
    <t>2020
Lower Value Used</t>
  </si>
  <si>
    <t>2021
Certified</t>
  </si>
  <si>
    <t>2021
Lower Value Used</t>
  </si>
  <si>
    <t>2022
Certified</t>
  </si>
  <si>
    <t>2022
Lower Value Used</t>
  </si>
  <si>
    <t>2023
Certified</t>
  </si>
  <si>
    <t>2023
Lower Value Used</t>
  </si>
  <si>
    <t>2024
Certified</t>
  </si>
  <si>
    <t>2024
Lower Value Used</t>
  </si>
  <si>
    <t>2025
Certified</t>
  </si>
  <si>
    <t>2025
Lower Value Used</t>
  </si>
  <si>
    <t>2026
Certified</t>
  </si>
  <si>
    <t>2026
Lower Value Used</t>
  </si>
  <si>
    <t>Enter projected Debt Tax Rate in YELLOW fields in column S.
Enter projected budget for the Permanent Improvement fund in YELLOW fields in column V.</t>
  </si>
  <si>
    <t>Enter % Change</t>
  </si>
  <si>
    <t>Enter % Increase New Construction</t>
  </si>
  <si>
    <t>Enter % Increase Existing Value</t>
  </si>
  <si>
    <t>Enter Tax Rate</t>
  </si>
  <si>
    <t>Prior Year Revenue</t>
  </si>
  <si>
    <t>Possible Estimated No Guaranteed NNR</t>
  </si>
  <si>
    <t>Debt Tax Rate</t>
  </si>
  <si>
    <t>Debt Tax Revenue</t>
  </si>
  <si>
    <t>Permeant Improvement Tax Rate</t>
  </si>
  <si>
    <t>Permeant Improvement Tax Revenue</t>
  </si>
  <si>
    <t>Possible Estimated No Guarantee General Fund NNR</t>
  </si>
  <si>
    <t>Possible Estimated No Guarantee M&amp;O VAR</t>
  </si>
  <si>
    <t>2027 Projection</t>
  </si>
  <si>
    <t>2028 Projection</t>
  </si>
  <si>
    <t>2029 Projection</t>
  </si>
  <si>
    <t>2030 Projection</t>
  </si>
  <si>
    <t>2031 Projection</t>
  </si>
  <si>
    <t>Comment</t>
  </si>
  <si>
    <t>Your General Fund Tax Rate (based on above entered tax rate)</t>
  </si>
  <si>
    <t>Enter Percentages in the YELLOW fields in columns E, G, L, and M to project appraised value growth.  
Enter Your Tax Rate in the YELLOW fields in column O.</t>
  </si>
  <si>
    <t>2026 Options</t>
  </si>
  <si>
    <t>Possible Estimated No Guarantee Legal Max Tax Rate</t>
  </si>
  <si>
    <t>No New Revenue Rate</t>
  </si>
  <si>
    <t>General Fund NNR</t>
  </si>
  <si>
    <t>M&amp;O VAR</t>
  </si>
  <si>
    <t>General Fund portion of VAR</t>
  </si>
  <si>
    <t>Possible Estimated No Guarantee General Fund portion of VAR</t>
  </si>
  <si>
    <t>Legal Max Tax Rate</t>
  </si>
  <si>
    <t>NEW DISTRICT COURT</t>
  </si>
  <si>
    <t>NEW CCL COURT</t>
  </si>
  <si>
    <t>OPEN JAIL POD</t>
  </si>
  <si>
    <t>NEW ONE-TIME PERSONNEL</t>
  </si>
  <si>
    <t>YOUR RECOMMENDED</t>
  </si>
  <si>
    <t>M</t>
  </si>
  <si>
    <t>P</t>
  </si>
  <si>
    <t>FY 2027 YOU SELECTED</t>
  </si>
  <si>
    <t>RECURRING PERSONNEL</t>
  </si>
  <si>
    <t>RECURRING M&amp;O</t>
  </si>
  <si>
    <t>ONE-TIME M&amp;O/CAPITAL</t>
  </si>
  <si>
    <t>OTHER RECURRNING</t>
  </si>
  <si>
    <t>OTHER ONE-TIME</t>
  </si>
  <si>
    <t>Your General Fund Rate (based on your build)</t>
  </si>
  <si>
    <t>ROAD AND BRIDGE FUND (1010)</t>
  </si>
  <si>
    <t xml:space="preserve">The primary fund used to account for activities affecting County-owned roads, including right-of-way acquisitions, construction, operations, and maintenance. </t>
  </si>
  <si>
    <t>Fund Balance Adjustment</t>
  </si>
  <si>
    <t>303004 - COM-FUEL</t>
  </si>
  <si>
    <t>303005 - COM-ROAD MATERIALS</t>
  </si>
  <si>
    <t>TRAILS OF BLUE RIDGE</t>
  </si>
  <si>
    <t>Build a New Public Works Facility</t>
  </si>
  <si>
    <t>Public-Private Partnership Lease for New Public Works Facility</t>
  </si>
  <si>
    <t>OTHER RECURRING</t>
  </si>
  <si>
    <t>POD Name</t>
  </si>
  <si>
    <t>Personnel - Recurring</t>
  </si>
  <si>
    <t>Non Personnel Recurring</t>
  </si>
  <si>
    <t>Male Acute (31)</t>
  </si>
  <si>
    <t>Male High Acute (19)</t>
  </si>
  <si>
    <t>1-Time Expenditures</t>
  </si>
  <si>
    <t>TOTAL Cost</t>
  </si>
  <si>
    <t>Male Flex 2 (14)</t>
  </si>
  <si>
    <t>Male Flex 3 (14)</t>
  </si>
  <si>
    <t>Male Flex 1 (16)</t>
  </si>
  <si>
    <t>Female Flex 1 (15)</t>
  </si>
  <si>
    <t>Female Flex 2 (15)</t>
  </si>
  <si>
    <t>Clinic (8)</t>
  </si>
  <si>
    <t>Breakroom 2</t>
  </si>
  <si>
    <t>Mattress Storage 2</t>
  </si>
  <si>
    <t>Projected Fiscal Year</t>
  </si>
  <si>
    <t>reduction of R&amp;B transfer</t>
  </si>
  <si>
    <t>These spreadsheets are tied to your "Build Your Own Budget" tabs.  Enter "YES" on those tabs to update the 5-year plan.</t>
  </si>
  <si>
    <t>You can adjust the percentage growth rates for revenues and expenditures on each 5-year plan.</t>
  </si>
  <si>
    <t>General Fund taxes are tied to your "Build Your Own Budget" tab for FY 2027 and "Cal Your Tax Rate" for FY 2028-2032.</t>
  </si>
  <si>
    <t>You can make changes to any field in "Yellow"</t>
  </si>
  <si>
    <t>There is a place to change the transfer to the Road &amp; Bridge fund if you would like to see how that impacts the Road &amp; Bridge Fund.</t>
  </si>
  <si>
    <t>There is a section for you to add funding for new courts, jail pods and any other thing you can possibly think of for the future.</t>
  </si>
  <si>
    <t>Fill out the yellow fields to see how your tax rate impacts the 5-year plan.</t>
  </si>
  <si>
    <t>Department Changes/Additions</t>
  </si>
  <si>
    <r>
      <t xml:space="preserve">FY 2027 Recommended Budget does </t>
    </r>
    <r>
      <rPr>
        <b/>
        <i/>
        <sz val="12"/>
        <color theme="1"/>
        <rFont val="Calibri"/>
        <family val="2"/>
        <scheme val="minor"/>
      </rPr>
      <t>NOT</t>
    </r>
    <r>
      <rPr>
        <i/>
        <sz val="12"/>
        <color theme="1"/>
        <rFont val="Calibri"/>
        <family val="2"/>
        <scheme val="minor"/>
      </rPr>
      <t xml:space="preserve"> currently include opening any new pods. New pods would need to be added to your clculator for them to feed into the "FY 2027 Your Recommended Budget" in Column F of the General Fund 5-Year Estimate. Estimates do not incude Inmate Medical increases.</t>
    </r>
  </si>
  <si>
    <t>Confidential Security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</si>
</sst>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000000"/>
    <numFmt numFmtId="165" formatCode="&quot;$&quot;#,##0;\(&quot;$&quot;#,##0\)"/>
    <numFmt numFmtId="166" formatCode="&quot;$&quot;#,##0.00;\(&quot;$&quot;#,##0.00\)"/>
    <numFmt numFmtId="167" formatCode="&quot;$&quot;#,##0.00"/>
    <numFmt numFmtId="168" formatCode="_(&quot;$&quot;* #,##0.000000_);_(&quot;$&quot;* \(#,##0.000000\);_(&quot;$&quot;* &quot;-&quot;??_);_(@_)"/>
    <numFmt numFmtId="169" formatCode="&quot;$&quot;#,##0"/>
    <numFmt numFmtId="170" formatCode="_(&quot;$&quot;* #,##0_);_(&quot;$&quot;* \(#,##0\);_(&quot;$&quot;* &quot;-&quot;??_);_(@_)"/>
    <numFmt numFmtId="171" formatCode="_(&quot;$&quot;* #,##0.00_);_(&quot;$&quot;* \(#,##0.00\);_(&quot;$&quot;* &quot;-&quot;_);_(@_)"/>
    <numFmt numFmtId="172" formatCode="0.0%"/>
    <numFmt numFmtId="173" formatCode="_(* #,##0_);_(* \(#,##0\);_(* &quot;-&quot;??_);_(@_)"/>
  </numFmts>
  <fonts count="51" x14ac:knownFonts="1">
    <font>
      <sz val="11"/>
      <color theme="1"/>
      <name val="Calibri"/>
      <family val="2"/>
      <scheme val="minor"/>
    </font>
    <font>
      <sz val="11"/>
      <color theme="1"/>
      <name val="Calibri"/>
      <family val="2"/>
      <scheme val="minor"/>
    </font>
    <font>
      <b/>
      <sz val="11"/>
      <color theme="1"/>
      <name val="Calibri"/>
      <family val="2"/>
      <scheme val="minor"/>
    </font>
    <font>
      <sz val="10"/>
      <color indexed="8"/>
      <name val="Arial"/>
      <family val="2"/>
    </font>
    <font>
      <b/>
      <sz val="11"/>
      <name val="Calibri"/>
      <family val="2"/>
      <scheme val="minor"/>
    </font>
    <font>
      <sz val="11"/>
      <color indexed="8"/>
      <name val="Calibri"/>
      <family val="2"/>
      <scheme val="minor"/>
    </font>
    <font>
      <sz val="8"/>
      <color indexed="8"/>
      <name val="Calibri"/>
      <family val="2"/>
      <scheme val="minor"/>
    </font>
    <font>
      <sz val="11"/>
      <name val="Calibri"/>
      <family val="2"/>
      <scheme val="minor"/>
    </font>
    <font>
      <sz val="8"/>
      <name val="Calibri"/>
      <family val="2"/>
      <scheme val="minor"/>
    </font>
    <font>
      <sz val="9"/>
      <color theme="1"/>
      <name val="Calibri"/>
      <family val="2"/>
      <scheme val="minor"/>
    </font>
    <font>
      <b/>
      <sz val="11"/>
      <color theme="1"/>
      <name val="Calibri"/>
      <family val="2"/>
    </font>
    <font>
      <b/>
      <sz val="9"/>
      <name val="Calibri"/>
      <family val="2"/>
      <scheme val="minor"/>
    </font>
    <font>
      <b/>
      <sz val="8"/>
      <name val="Calibri"/>
      <family val="2"/>
      <scheme val="minor"/>
    </font>
    <font>
      <b/>
      <sz val="14"/>
      <color theme="0"/>
      <name val="Calibri"/>
      <family val="2"/>
      <scheme val="minor"/>
    </font>
    <font>
      <sz val="11"/>
      <color theme="0"/>
      <name val="Calibri"/>
      <family val="2"/>
      <scheme val="minor"/>
    </font>
    <font>
      <b/>
      <sz val="14"/>
      <color theme="1"/>
      <name val="Calibri"/>
      <family val="2"/>
      <scheme val="minor"/>
    </font>
    <font>
      <sz val="8"/>
      <color theme="1"/>
      <name val="Calibri"/>
      <family val="2"/>
      <scheme val="minor"/>
    </font>
    <font>
      <b/>
      <sz val="11"/>
      <color indexed="8"/>
      <name val="Calibri"/>
      <family val="2"/>
      <scheme val="minor"/>
    </font>
    <font>
      <b/>
      <sz val="11"/>
      <color theme="6" tint="-0.499984740745262"/>
      <name val="Calibri"/>
      <family val="2"/>
      <scheme val="minor"/>
    </font>
    <font>
      <b/>
      <sz val="11"/>
      <color rgb="FFFF0000"/>
      <name val="Calibri"/>
      <family val="2"/>
      <scheme val="minor"/>
    </font>
    <font>
      <b/>
      <sz val="10"/>
      <color theme="1"/>
      <name val="Calibri"/>
      <family val="2"/>
    </font>
    <font>
      <i/>
      <sz val="11"/>
      <color theme="1"/>
      <name val="Calibri"/>
      <family val="2"/>
      <scheme val="minor"/>
    </font>
    <font>
      <sz val="11"/>
      <color theme="1"/>
      <name val="Calibri"/>
      <family val="2"/>
    </font>
    <font>
      <b/>
      <sz val="20"/>
      <color theme="1"/>
      <name val="Calibri"/>
      <family val="2"/>
    </font>
    <font>
      <b/>
      <sz val="18"/>
      <color theme="1"/>
      <name val="Calibri"/>
      <family val="2"/>
    </font>
    <font>
      <b/>
      <sz val="14"/>
      <color theme="1"/>
      <name val="Calibri"/>
      <family val="2"/>
    </font>
    <font>
      <b/>
      <sz val="12"/>
      <color theme="1"/>
      <name val="Calibri"/>
      <family val="2"/>
    </font>
    <font>
      <i/>
      <sz val="11"/>
      <color theme="1"/>
      <name val="Calibri"/>
      <family val="2"/>
    </font>
    <font>
      <b/>
      <sz val="12"/>
      <color theme="5"/>
      <name val="Calibri"/>
      <family val="2"/>
      <scheme val="minor"/>
    </font>
    <font>
      <b/>
      <sz val="11"/>
      <color theme="3"/>
      <name val="Calibri"/>
      <family val="2"/>
      <scheme val="minor"/>
    </font>
    <font>
      <b/>
      <sz val="11"/>
      <color theme="0"/>
      <name val="Calibri"/>
      <family val="2"/>
      <scheme val="minor"/>
    </font>
    <font>
      <sz val="11"/>
      <color rgb="FFFF0000"/>
      <name val="Calibri"/>
      <family val="2"/>
      <scheme val="minor"/>
    </font>
    <font>
      <b/>
      <sz val="18"/>
      <color theme="3"/>
      <name val="Calibri Light"/>
      <family val="2"/>
      <scheme val="major"/>
    </font>
    <font>
      <b/>
      <sz val="18"/>
      <color theme="0"/>
      <name val="Cambria"/>
      <family val="1"/>
    </font>
    <font>
      <sz val="11"/>
      <color theme="4"/>
      <name val="Calibri"/>
      <family val="2"/>
      <scheme val="minor"/>
    </font>
    <font>
      <sz val="11"/>
      <color rgb="FF000000"/>
      <name val="Calibri"/>
      <family val="2"/>
      <scheme val="minor"/>
    </font>
    <font>
      <b/>
      <sz val="14"/>
      <color theme="0"/>
      <name val="Cambria"/>
      <family val="1"/>
    </font>
    <font>
      <b/>
      <i/>
      <sz val="11"/>
      <color rgb="FFFF0000"/>
      <name val="Calibri"/>
      <family val="2"/>
      <scheme val="minor"/>
    </font>
    <font>
      <sz val="12"/>
      <color theme="1"/>
      <name val="Calibri"/>
      <family val="2"/>
      <scheme val="minor"/>
    </font>
    <font>
      <b/>
      <sz val="11"/>
      <color theme="9" tint="-0.249977111117893"/>
      <name val="Calibri"/>
      <family val="2"/>
      <scheme val="minor"/>
    </font>
    <font>
      <u/>
      <sz val="11"/>
      <color theme="1"/>
      <name val="Calibri"/>
      <family val="2"/>
      <scheme val="minor"/>
    </font>
    <font>
      <u val="singleAccounting"/>
      <sz val="11"/>
      <color theme="1"/>
      <name val="Calibri"/>
      <family val="2"/>
      <scheme val="minor"/>
    </font>
    <font>
      <b/>
      <u val="doubleAccounting"/>
      <sz val="11"/>
      <name val="Calibri"/>
      <family val="2"/>
      <scheme val="minor"/>
    </font>
    <font>
      <b/>
      <u val="doubleAccounting"/>
      <sz val="11"/>
      <color theme="9" tint="-0.249977111117893"/>
      <name val="Calibri"/>
      <family val="2"/>
      <scheme val="minor"/>
    </font>
    <font>
      <sz val="9"/>
      <color indexed="81"/>
      <name val="Tahoma"/>
      <family val="2"/>
    </font>
    <font>
      <sz val="10"/>
      <name val="Arial"/>
      <family val="2"/>
    </font>
    <font>
      <b/>
      <sz val="16"/>
      <color indexed="9"/>
      <name val="Calibri"/>
      <family val="2"/>
      <scheme val="minor"/>
    </font>
    <font>
      <b/>
      <sz val="10"/>
      <name val="Calibri"/>
      <family val="2"/>
      <scheme val="minor"/>
    </font>
    <font>
      <b/>
      <sz val="9"/>
      <color indexed="81"/>
      <name val="Tahoma"/>
      <family val="2"/>
    </font>
    <font>
      <i/>
      <sz val="12"/>
      <color theme="1"/>
      <name val="Calibri"/>
      <family val="2"/>
      <scheme val="minor"/>
    </font>
    <font>
      <b/>
      <i/>
      <sz val="12"/>
      <color theme="1"/>
      <name val="Calibri"/>
      <family val="2"/>
      <scheme val="minor"/>
    </font>
  </fonts>
  <fills count="23">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FFCC"/>
        <bgColor indexed="64"/>
      </patternFill>
    </fill>
    <fill>
      <patternFill patternType="solid">
        <fgColor theme="4"/>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0"/>
        <bgColor indexed="64"/>
      </patternFill>
    </fill>
    <fill>
      <patternFill patternType="solid">
        <fgColor rgb="FF9F8CB7"/>
        <bgColor indexed="64"/>
      </patternFill>
    </fill>
    <fill>
      <patternFill patternType="solid">
        <fgColor rgb="FFEAEAEA"/>
        <bgColor indexed="64"/>
      </patternFill>
    </fill>
    <fill>
      <patternFill patternType="solid">
        <fgColor theme="4"/>
      </patternFill>
    </fill>
    <fill>
      <patternFill patternType="solid">
        <fgColor rgb="FF66B1BD"/>
        <bgColor indexed="64"/>
      </patternFill>
    </fill>
    <fill>
      <patternFill patternType="solid">
        <fgColor rgb="FFDCEFF3"/>
        <bgColor indexed="64"/>
      </patternFill>
    </fill>
    <fill>
      <patternFill patternType="solid">
        <fgColor indexed="62"/>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8" tint="0.59999389629810485"/>
        <bgColor indexed="64"/>
      </patternFill>
    </fill>
  </fills>
  <borders count="3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7">
    <xf numFmtId="0" fontId="0" fillId="0" borderId="0"/>
    <xf numFmtId="44" fontId="1" fillId="0" borderId="0" applyFont="0" applyFill="0" applyBorder="0" applyAlignment="0" applyProtection="0"/>
    <xf numFmtId="0" fontId="3" fillId="0" borderId="0"/>
    <xf numFmtId="0" fontId="22" fillId="0" borderId="0"/>
    <xf numFmtId="44" fontId="22" fillId="0" borderId="0" applyFont="0" applyFill="0" applyBorder="0" applyAlignment="0" applyProtection="0"/>
    <xf numFmtId="0" fontId="32" fillId="0" borderId="0" applyNumberFormat="0" applyFill="0" applyBorder="0" applyAlignment="0" applyProtection="0"/>
    <xf numFmtId="0" fontId="1" fillId="0" borderId="0"/>
    <xf numFmtId="0" fontId="35" fillId="0" borderId="0"/>
    <xf numFmtId="0" fontId="14" fillId="16" borderId="0" applyNumberFormat="0" applyBorder="0" applyAlignment="0" applyProtection="0"/>
    <xf numFmtId="0" fontId="29" fillId="0" borderId="0" applyNumberForma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22" fillId="0" borderId="0" applyFont="0" applyFill="0" applyBorder="0" applyAlignment="0" applyProtection="0"/>
    <xf numFmtId="43" fontId="22" fillId="0" borderId="0" applyFont="0" applyFill="0" applyBorder="0" applyAlignment="0" applyProtection="0"/>
    <xf numFmtId="0" fontId="45" fillId="0" borderId="0"/>
    <xf numFmtId="9" fontId="45" fillId="0" borderId="0" applyFont="0" applyFill="0" applyBorder="0" applyAlignment="0" applyProtection="0"/>
    <xf numFmtId="44" fontId="45" fillId="0" borderId="0" applyFont="0" applyFill="0" applyBorder="0" applyAlignment="0" applyProtection="0"/>
  </cellStyleXfs>
  <cellXfs count="365">
    <xf numFmtId="0" fontId="0" fillId="0" borderId="0" xfId="0"/>
    <xf numFmtId="0" fontId="4" fillId="2" borderId="0" xfId="2" applyFont="1" applyFill="1" applyBorder="1" applyAlignment="1">
      <alignment vertical="top"/>
    </xf>
    <xf numFmtId="0" fontId="5" fillId="0" borderId="0" xfId="0" applyFont="1" applyFill="1" applyBorder="1" applyAlignment="1">
      <alignment vertical="top"/>
    </xf>
    <xf numFmtId="0" fontId="8" fillId="0" borderId="0" xfId="2" applyFont="1" applyAlignment="1">
      <alignment horizontal="left" vertical="top"/>
    </xf>
    <xf numFmtId="0" fontId="4" fillId="2" borderId="0" xfId="2" applyFont="1" applyFill="1" applyBorder="1" applyAlignment="1">
      <alignment horizontal="center" vertical="top"/>
    </xf>
    <xf numFmtId="164" fontId="0" fillId="0" borderId="0" xfId="0" applyNumberFormat="1"/>
    <xf numFmtId="0" fontId="7" fillId="2" borderId="1" xfId="2" applyFont="1" applyFill="1" applyBorder="1" applyAlignment="1">
      <alignment vertical="top"/>
    </xf>
    <xf numFmtId="165" fontId="7" fillId="2" borderId="2" xfId="2" applyNumberFormat="1" applyFont="1" applyFill="1" applyBorder="1" applyAlignment="1">
      <alignment horizontal="center" vertical="top"/>
    </xf>
    <xf numFmtId="165" fontId="7" fillId="0" borderId="2" xfId="2" applyNumberFormat="1" applyFont="1" applyFill="1" applyBorder="1" applyAlignment="1">
      <alignment horizontal="center" vertical="top"/>
    </xf>
    <xf numFmtId="166" fontId="7" fillId="0" borderId="2" xfId="2" applyNumberFormat="1" applyFont="1" applyFill="1" applyBorder="1" applyAlignment="1">
      <alignment horizontal="center" vertical="top"/>
    </xf>
    <xf numFmtId="167" fontId="0" fillId="0" borderId="0" xfId="0" applyNumberFormat="1"/>
    <xf numFmtId="0" fontId="9" fillId="0" borderId="0" xfId="0" applyFont="1"/>
    <xf numFmtId="0" fontId="5" fillId="3" borderId="0" xfId="0" applyFont="1" applyFill="1" applyBorder="1" applyAlignment="1">
      <alignment vertical="top"/>
    </xf>
    <xf numFmtId="164" fontId="0" fillId="3" borderId="0" xfId="0" applyNumberFormat="1" applyFill="1"/>
    <xf numFmtId="167" fontId="0" fillId="3" borderId="0" xfId="0" applyNumberFormat="1" applyFill="1"/>
    <xf numFmtId="0" fontId="9" fillId="3" borderId="0" xfId="0" applyFont="1" applyFill="1"/>
    <xf numFmtId="0" fontId="0" fillId="3" borderId="0" xfId="0" applyFill="1"/>
    <xf numFmtId="164" fontId="0" fillId="3" borderId="0" xfId="0" applyNumberFormat="1" applyFont="1" applyFill="1"/>
    <xf numFmtId="0" fontId="7" fillId="3" borderId="0" xfId="2" applyFont="1" applyFill="1" applyBorder="1" applyAlignment="1">
      <alignment horizontal="left" vertical="top"/>
    </xf>
    <xf numFmtId="0" fontId="0" fillId="0" borderId="0" xfId="0" applyFill="1"/>
    <xf numFmtId="0" fontId="5" fillId="3" borderId="0" xfId="0" applyFont="1" applyFill="1" applyBorder="1" applyAlignment="1">
      <alignment horizontal="left" vertical="top" indent="2"/>
    </xf>
    <xf numFmtId="0" fontId="5" fillId="0" borderId="0" xfId="0" applyFont="1" applyFill="1" applyBorder="1" applyAlignment="1">
      <alignment horizontal="left" vertical="top" indent="2"/>
    </xf>
    <xf numFmtId="0" fontId="0" fillId="0" borderId="0" xfId="0" applyAlignment="1">
      <alignment horizontal="left" indent="2"/>
    </xf>
    <xf numFmtId="0" fontId="0" fillId="3" borderId="0" xfId="0" applyFill="1" applyAlignment="1">
      <alignment horizontal="left" indent="2"/>
    </xf>
    <xf numFmtId="0" fontId="17" fillId="0" borderId="0" xfId="0" applyFont="1" applyFill="1" applyBorder="1" applyAlignment="1">
      <alignment vertical="top"/>
    </xf>
    <xf numFmtId="164" fontId="0" fillId="0" borderId="0" xfId="0" applyNumberFormat="1" applyFill="1"/>
    <xf numFmtId="0" fontId="9" fillId="0" borderId="0" xfId="0" applyFont="1" applyFill="1"/>
    <xf numFmtId="169" fontId="0" fillId="0" borderId="0" xfId="0" applyNumberFormat="1"/>
    <xf numFmtId="169" fontId="0" fillId="3" borderId="0" xfId="0" applyNumberFormat="1" applyFill="1"/>
    <xf numFmtId="169" fontId="0" fillId="0" borderId="0" xfId="0" applyNumberFormat="1" applyFill="1"/>
    <xf numFmtId="0" fontId="0" fillId="0" borderId="0" xfId="0" applyProtection="1"/>
    <xf numFmtId="0" fontId="14" fillId="0" borderId="0" xfId="0" applyFont="1" applyProtection="1"/>
    <xf numFmtId="0" fontId="0" fillId="0" borderId="0" xfId="0" applyFill="1" applyProtection="1"/>
    <xf numFmtId="0" fontId="14" fillId="0" borderId="0" xfId="0" applyFont="1" applyFill="1" applyProtection="1"/>
    <xf numFmtId="0" fontId="12" fillId="5" borderId="1" xfId="2" applyFont="1" applyFill="1" applyBorder="1" applyAlignment="1" applyProtection="1">
      <alignment horizontal="center" wrapText="1"/>
    </xf>
    <xf numFmtId="0" fontId="12" fillId="5" borderId="5" xfId="2" applyFont="1" applyFill="1" applyBorder="1" applyAlignment="1" applyProtection="1">
      <alignment horizontal="center" wrapText="1"/>
    </xf>
    <xf numFmtId="0" fontId="4" fillId="5" borderId="5" xfId="2" applyFont="1" applyFill="1" applyBorder="1" applyAlignment="1" applyProtection="1">
      <alignment wrapText="1"/>
    </xf>
    <xf numFmtId="0" fontId="11" fillId="5" borderId="5" xfId="2" applyFont="1" applyFill="1" applyBorder="1" applyAlignment="1" applyProtection="1">
      <alignment horizontal="center" wrapText="1"/>
    </xf>
    <xf numFmtId="44" fontId="11" fillId="5" borderId="5" xfId="1" applyFont="1" applyFill="1" applyBorder="1" applyAlignment="1" applyProtection="1">
      <alignment horizontal="center" wrapText="1"/>
    </xf>
    <xf numFmtId="0" fontId="10" fillId="5" borderId="5" xfId="0" applyFont="1" applyFill="1" applyBorder="1" applyAlignment="1" applyProtection="1">
      <alignment horizontal="center" wrapText="1"/>
    </xf>
    <xf numFmtId="0" fontId="10" fillId="5" borderId="2" xfId="0" applyFont="1" applyFill="1" applyBorder="1" applyAlignment="1" applyProtection="1">
      <alignment horizontal="center" wrapText="1"/>
    </xf>
    <xf numFmtId="0" fontId="1" fillId="0" borderId="4" xfId="0" applyFont="1" applyBorder="1" applyAlignment="1" applyProtection="1">
      <alignment horizontal="center" vertical="center" wrapText="1"/>
    </xf>
    <xf numFmtId="1" fontId="1" fillId="0" borderId="4" xfId="0" quotePrefix="1" applyNumberFormat="1" applyFont="1" applyBorder="1" applyAlignment="1" applyProtection="1">
      <alignment horizontal="right" vertical="top"/>
    </xf>
    <xf numFmtId="0" fontId="1" fillId="0" borderId="4" xfId="0" applyFont="1" applyBorder="1" applyAlignment="1" applyProtection="1">
      <alignment horizontal="center" vertical="top"/>
    </xf>
    <xf numFmtId="0" fontId="1" fillId="0" borderId="4" xfId="0" applyFont="1" applyBorder="1" applyAlignment="1" applyProtection="1">
      <alignment vertical="top"/>
    </xf>
    <xf numFmtId="44" fontId="0" fillId="0" borderId="4" xfId="1" applyFont="1" applyBorder="1" applyAlignment="1" applyProtection="1">
      <alignment horizontal="center" vertical="top"/>
    </xf>
    <xf numFmtId="170" fontId="0" fillId="0" borderId="4" xfId="0" applyNumberFormat="1" applyBorder="1" applyAlignment="1" applyProtection="1">
      <alignment vertical="top"/>
    </xf>
    <xf numFmtId="170" fontId="0" fillId="0" borderId="4" xfId="1" applyNumberFormat="1" applyFont="1" applyBorder="1" applyAlignment="1" applyProtection="1">
      <alignment vertical="top"/>
    </xf>
    <xf numFmtId="0" fontId="1" fillId="0" borderId="4" xfId="0" applyFont="1" applyBorder="1" applyAlignment="1" applyProtection="1">
      <alignment vertical="top" wrapText="1"/>
    </xf>
    <xf numFmtId="0" fontId="1" fillId="0" borderId="4" xfId="0" quotePrefix="1" applyFont="1" applyBorder="1" applyAlignment="1" applyProtection="1">
      <alignment horizontal="center" vertical="top"/>
    </xf>
    <xf numFmtId="1" fontId="1" fillId="0" borderId="4" xfId="0" applyNumberFormat="1" applyFont="1" applyBorder="1" applyAlignment="1" applyProtection="1">
      <alignment horizontal="right" vertical="top"/>
    </xf>
    <xf numFmtId="0" fontId="1" fillId="0" borderId="4" xfId="0" applyFont="1" applyFill="1" applyBorder="1" applyAlignment="1" applyProtection="1">
      <alignment vertical="top" wrapText="1"/>
    </xf>
    <xf numFmtId="0" fontId="1" fillId="0" borderId="4" xfId="0" applyFont="1" applyBorder="1" applyAlignment="1" applyProtection="1">
      <alignment horizontal="center" vertical="top" wrapText="1"/>
    </xf>
    <xf numFmtId="0" fontId="0" fillId="0" borderId="4" xfId="0" applyBorder="1" applyAlignment="1" applyProtection="1">
      <alignment horizontal="center" vertical="top"/>
    </xf>
    <xf numFmtId="0" fontId="0" fillId="0" borderId="4" xfId="0" applyBorder="1" applyAlignment="1" applyProtection="1">
      <alignment vertical="top"/>
    </xf>
    <xf numFmtId="0" fontId="1" fillId="0" borderId="4" xfId="0" applyFont="1" applyFill="1" applyBorder="1" applyAlignment="1" applyProtection="1">
      <alignment horizontal="center" vertical="top"/>
    </xf>
    <xf numFmtId="0" fontId="2" fillId="2" borderId="0" xfId="0" applyFont="1" applyFill="1" applyProtection="1"/>
    <xf numFmtId="0" fontId="2" fillId="2" borderId="0" xfId="0" applyFont="1" applyFill="1" applyAlignment="1" applyProtection="1">
      <alignment horizontal="right"/>
    </xf>
    <xf numFmtId="170" fontId="2" fillId="2" borderId="3" xfId="0" applyNumberFormat="1" applyFont="1" applyFill="1" applyBorder="1" applyAlignment="1" applyProtection="1">
      <alignment vertical="top"/>
    </xf>
    <xf numFmtId="0" fontId="0" fillId="0" borderId="4" xfId="0" applyFont="1" applyBorder="1" applyAlignment="1" applyProtection="1">
      <alignment horizontal="center" vertical="top"/>
    </xf>
    <xf numFmtId="0" fontId="12" fillId="9" borderId="1" xfId="2" applyFont="1" applyFill="1" applyBorder="1" applyAlignment="1" applyProtection="1">
      <alignment horizontal="center" wrapText="1"/>
    </xf>
    <xf numFmtId="0" fontId="12" fillId="9" borderId="5" xfId="2" applyFont="1" applyFill="1" applyBorder="1" applyAlignment="1" applyProtection="1">
      <alignment horizontal="center" wrapText="1"/>
    </xf>
    <xf numFmtId="0" fontId="10" fillId="9" borderId="5" xfId="0" applyFont="1" applyFill="1" applyBorder="1" applyAlignment="1" applyProtection="1">
      <alignment horizontal="center" wrapText="1"/>
    </xf>
    <xf numFmtId="0" fontId="10" fillId="9" borderId="2" xfId="0" applyFont="1" applyFill="1" applyBorder="1" applyAlignment="1" applyProtection="1">
      <alignment horizontal="center" wrapText="1"/>
    </xf>
    <xf numFmtId="44" fontId="0" fillId="0" borderId="4" xfId="0" applyNumberFormat="1" applyBorder="1" applyAlignment="1" applyProtection="1">
      <alignment vertical="top"/>
    </xf>
    <xf numFmtId="168" fontId="0" fillId="0" borderId="4" xfId="0" applyNumberFormat="1" applyBorder="1" applyAlignment="1" applyProtection="1">
      <alignment vertical="top"/>
    </xf>
    <xf numFmtId="170" fontId="2" fillId="11" borderId="3" xfId="0" applyNumberFormat="1" applyFont="1" applyFill="1" applyBorder="1" applyAlignment="1" applyProtection="1">
      <alignment vertical="top"/>
    </xf>
    <xf numFmtId="0" fontId="2" fillId="11" borderId="0" xfId="0" applyFont="1" applyFill="1" applyProtection="1"/>
    <xf numFmtId="170" fontId="2" fillId="2" borderId="0" xfId="0" applyNumberFormat="1" applyFont="1" applyFill="1" applyBorder="1" applyAlignment="1" applyProtection="1">
      <alignment vertical="top"/>
    </xf>
    <xf numFmtId="170" fontId="18" fillId="8" borderId="7" xfId="0" applyNumberFormat="1" applyFont="1" applyFill="1" applyBorder="1" applyAlignment="1" applyProtection="1">
      <alignment vertical="top"/>
    </xf>
    <xf numFmtId="0" fontId="18" fillId="8" borderId="7" xfId="0" applyFont="1" applyFill="1" applyBorder="1" applyProtection="1"/>
    <xf numFmtId="0" fontId="18" fillId="8" borderId="8" xfId="0" applyFont="1" applyFill="1" applyBorder="1" applyProtection="1"/>
    <xf numFmtId="0" fontId="19" fillId="0" borderId="4" xfId="0" applyFont="1" applyBorder="1" applyAlignment="1" applyProtection="1">
      <alignment vertical="top"/>
    </xf>
    <xf numFmtId="0" fontId="0" fillId="0" borderId="4" xfId="0" quotePrefix="1" applyFont="1" applyBorder="1" applyAlignment="1" applyProtection="1">
      <alignment horizontal="center" vertical="top"/>
    </xf>
    <xf numFmtId="0" fontId="12" fillId="13" borderId="0" xfId="2" applyFont="1" applyFill="1" applyBorder="1" applyAlignment="1" applyProtection="1">
      <alignment horizontal="center" wrapText="1"/>
    </xf>
    <xf numFmtId="0" fontId="4" fillId="13" borderId="0" xfId="2" applyFont="1" applyFill="1" applyBorder="1" applyAlignment="1" applyProtection="1">
      <alignment wrapText="1"/>
    </xf>
    <xf numFmtId="0" fontId="11" fillId="13" borderId="0" xfId="2" applyFont="1" applyFill="1" applyBorder="1" applyAlignment="1" applyProtection="1">
      <alignment horizontal="center" wrapText="1"/>
    </xf>
    <xf numFmtId="44" fontId="11" fillId="13" borderId="0" xfId="1" applyFont="1" applyFill="1" applyBorder="1" applyAlignment="1" applyProtection="1">
      <alignment horizontal="center" wrapText="1"/>
    </xf>
    <xf numFmtId="0" fontId="10" fillId="13" borderId="0" xfId="0" applyFont="1" applyFill="1" applyAlignment="1" applyProtection="1">
      <alignment horizontal="center" wrapText="1"/>
    </xf>
    <xf numFmtId="0" fontId="0" fillId="13" borderId="0" xfId="0" applyFill="1" applyProtection="1"/>
    <xf numFmtId="0" fontId="2" fillId="13" borderId="0" xfId="0" applyFont="1" applyFill="1" applyProtection="1"/>
    <xf numFmtId="0" fontId="2" fillId="13" borderId="0" xfId="0" applyFont="1" applyFill="1" applyAlignment="1" applyProtection="1">
      <alignment horizontal="right"/>
    </xf>
    <xf numFmtId="170" fontId="2" fillId="13" borderId="0" xfId="0" applyNumberFormat="1" applyFont="1" applyFill="1" applyBorder="1" applyAlignment="1" applyProtection="1">
      <alignment vertical="top"/>
    </xf>
    <xf numFmtId="44" fontId="0" fillId="0" borderId="4" xfId="1" applyFont="1" applyBorder="1" applyAlignment="1" applyProtection="1">
      <alignment horizontal="center" vertical="top"/>
      <protection locked="0"/>
    </xf>
    <xf numFmtId="0" fontId="1" fillId="0" borderId="4" xfId="0" applyFont="1" applyBorder="1" applyAlignment="1" applyProtection="1">
      <alignment vertical="top"/>
      <protection locked="0"/>
    </xf>
    <xf numFmtId="0" fontId="1" fillId="0" borderId="4" xfId="0" applyFont="1" applyBorder="1" applyAlignment="1" applyProtection="1">
      <alignment vertical="top" wrapText="1"/>
      <protection locked="0"/>
    </xf>
    <xf numFmtId="0" fontId="1" fillId="0" borderId="4" xfId="0" applyFont="1" applyFill="1" applyBorder="1" applyAlignment="1" applyProtection="1">
      <alignment vertical="top" wrapText="1"/>
      <protection locked="0"/>
    </xf>
    <xf numFmtId="0" fontId="1" fillId="0" borderId="4" xfId="0" applyFont="1" applyBorder="1" applyAlignment="1" applyProtection="1">
      <alignment horizontal="center" vertical="top"/>
      <protection locked="0"/>
    </xf>
    <xf numFmtId="170" fontId="0" fillId="0" borderId="4" xfId="0" applyNumberFormat="1" applyBorder="1" applyAlignment="1" applyProtection="1">
      <alignment vertical="top"/>
      <protection locked="0"/>
    </xf>
    <xf numFmtId="170" fontId="0" fillId="0" borderId="4" xfId="1" applyNumberFormat="1" applyFont="1" applyBorder="1" applyAlignment="1" applyProtection="1">
      <alignment vertical="top"/>
      <protection locked="0"/>
    </xf>
    <xf numFmtId="0" fontId="19" fillId="0" borderId="4" xfId="0" applyFont="1" applyBorder="1" applyAlignment="1" applyProtection="1">
      <alignment vertical="top"/>
      <protection locked="0"/>
    </xf>
    <xf numFmtId="0" fontId="0" fillId="0" borderId="4" xfId="0" quotePrefix="1" applyFont="1" applyBorder="1" applyAlignment="1" applyProtection="1">
      <alignment horizontal="center" vertical="top"/>
      <protection locked="0"/>
    </xf>
    <xf numFmtId="1" fontId="1" fillId="0" borderId="4" xfId="0" quotePrefix="1" applyNumberFormat="1" applyFont="1" applyBorder="1" applyAlignment="1" applyProtection="1">
      <alignment horizontal="right" vertical="top"/>
      <protection locked="0"/>
    </xf>
    <xf numFmtId="0" fontId="20" fillId="6" borderId="5" xfId="0" applyFont="1" applyFill="1" applyBorder="1" applyAlignment="1" applyProtection="1">
      <alignment horizontal="center" wrapText="1"/>
    </xf>
    <xf numFmtId="0" fontId="7" fillId="0" borderId="4" xfId="0" applyFont="1" applyBorder="1" applyAlignment="1" applyProtection="1">
      <alignment vertical="top"/>
      <protection locked="0"/>
    </xf>
    <xf numFmtId="1" fontId="0" fillId="0" borderId="4" xfId="0" quotePrefix="1" applyNumberFormat="1" applyFont="1" applyBorder="1" applyAlignment="1" applyProtection="1">
      <alignment horizontal="right" vertical="top"/>
    </xf>
    <xf numFmtId="170" fontId="0" fillId="13" borderId="0" xfId="0" applyNumberFormat="1" applyFill="1" applyProtection="1"/>
    <xf numFmtId="0" fontId="24" fillId="0" borderId="0" xfId="3" applyFont="1" applyAlignment="1" applyProtection="1"/>
    <xf numFmtId="0" fontId="22" fillId="0" borderId="0" xfId="3" applyProtection="1"/>
    <xf numFmtId="0" fontId="25" fillId="14" borderId="6" xfId="3" applyFont="1" applyFill="1" applyBorder="1" applyAlignment="1" applyProtection="1">
      <alignment horizontal="center" vertical="center"/>
    </xf>
    <xf numFmtId="0" fontId="25" fillId="14" borderId="7" xfId="3" applyFont="1" applyFill="1" applyBorder="1" applyAlignment="1" applyProtection="1">
      <alignment horizontal="center"/>
    </xf>
    <xf numFmtId="0" fontId="25" fillId="14" borderId="8" xfId="3" applyFont="1" applyFill="1" applyBorder="1" applyAlignment="1" applyProtection="1">
      <alignment horizontal="center"/>
    </xf>
    <xf numFmtId="0" fontId="26" fillId="15" borderId="9" xfId="3" applyFont="1" applyFill="1" applyBorder="1" applyAlignment="1" applyProtection="1">
      <alignment horizontal="center"/>
    </xf>
    <xf numFmtId="0" fontId="26" fillId="15" borderId="0" xfId="3" applyFont="1" applyFill="1" applyBorder="1" applyProtection="1"/>
    <xf numFmtId="44" fontId="26" fillId="15" borderId="10" xfId="4" applyFont="1" applyFill="1" applyBorder="1" applyAlignment="1" applyProtection="1">
      <alignment horizontal="left" vertical="top"/>
    </xf>
    <xf numFmtId="0" fontId="22" fillId="0" borderId="9" xfId="3" applyBorder="1" applyAlignment="1" applyProtection="1">
      <alignment horizontal="center"/>
    </xf>
    <xf numFmtId="0" fontId="27" fillId="0" borderId="0" xfId="3" applyFont="1" applyBorder="1" applyAlignment="1" applyProtection="1">
      <alignment horizontal="left" wrapText="1"/>
    </xf>
    <xf numFmtId="44" fontId="0" fillId="0" borderId="10" xfId="4" applyFont="1" applyBorder="1" applyAlignment="1" applyProtection="1">
      <alignment horizontal="left" vertical="top"/>
    </xf>
    <xf numFmtId="0" fontId="22" fillId="0" borderId="0" xfId="3" applyFont="1" applyBorder="1" applyAlignment="1" applyProtection="1">
      <alignment horizontal="right" wrapText="1"/>
    </xf>
    <xf numFmtId="0" fontId="27" fillId="0" borderId="0" xfId="3" applyFont="1" applyBorder="1" applyAlignment="1" applyProtection="1">
      <alignment horizontal="right" wrapText="1"/>
    </xf>
    <xf numFmtId="0" fontId="26" fillId="3" borderId="9" xfId="3" applyFont="1" applyFill="1" applyBorder="1" applyAlignment="1" applyProtection="1">
      <alignment horizontal="center"/>
    </xf>
    <xf numFmtId="0" fontId="26" fillId="3" borderId="0" xfId="3" applyFont="1" applyFill="1" applyBorder="1" applyProtection="1"/>
    <xf numFmtId="44" fontId="26" fillId="3" borderId="10" xfId="4" applyFont="1" applyFill="1" applyBorder="1" applyAlignment="1" applyProtection="1">
      <alignment horizontal="left" vertical="top"/>
    </xf>
    <xf numFmtId="0" fontId="10" fillId="0" borderId="9" xfId="3" applyFont="1" applyBorder="1" applyAlignment="1" applyProtection="1">
      <alignment horizontal="center"/>
    </xf>
    <xf numFmtId="0" fontId="27" fillId="0" borderId="0" xfId="3" applyFont="1" applyBorder="1" applyProtection="1"/>
    <xf numFmtId="0" fontId="22" fillId="0" borderId="11" xfId="3" applyBorder="1" applyAlignment="1" applyProtection="1">
      <alignment horizontal="center"/>
    </xf>
    <xf numFmtId="0" fontId="22" fillId="0" borderId="12" xfId="3" applyBorder="1" applyProtection="1"/>
    <xf numFmtId="44" fontId="26" fillId="0" borderId="13" xfId="4" applyFont="1" applyBorder="1" applyAlignment="1" applyProtection="1">
      <alignment horizontal="left" vertical="top"/>
    </xf>
    <xf numFmtId="44" fontId="22" fillId="0" borderId="0" xfId="3" applyNumberFormat="1" applyProtection="1"/>
    <xf numFmtId="44" fontId="10" fillId="0" borderId="14" xfId="3" applyNumberFormat="1" applyFont="1" applyBorder="1" applyProtection="1"/>
    <xf numFmtId="0" fontId="0" fillId="0" borderId="4" xfId="0" applyFont="1" applyBorder="1" applyAlignment="1" applyProtection="1">
      <alignment vertical="top"/>
    </xf>
    <xf numFmtId="0" fontId="0" fillId="0" borderId="4" xfId="0" applyFont="1" applyBorder="1" applyAlignment="1" applyProtection="1">
      <alignment vertical="top" wrapText="1"/>
    </xf>
    <xf numFmtId="167" fontId="7" fillId="0" borderId="0" xfId="14" applyNumberFormat="1" applyFont="1" applyProtection="1"/>
    <xf numFmtId="0" fontId="7" fillId="0" borderId="0" xfId="14" applyFont="1" applyProtection="1"/>
    <xf numFmtId="0" fontId="4" fillId="0" borderId="12" xfId="14" applyFont="1" applyBorder="1" applyAlignment="1" applyProtection="1">
      <alignment horizontal="center" wrapText="1"/>
    </xf>
    <xf numFmtId="0" fontId="4" fillId="20" borderId="12" xfId="14" applyFont="1" applyFill="1" applyBorder="1" applyAlignment="1" applyProtection="1">
      <alignment horizontal="center" wrapText="1"/>
    </xf>
    <xf numFmtId="0" fontId="4" fillId="0" borderId="12" xfId="14" applyFont="1" applyFill="1" applyBorder="1" applyAlignment="1" applyProtection="1">
      <alignment horizontal="center" wrapText="1"/>
    </xf>
    <xf numFmtId="6" fontId="4" fillId="20" borderId="12" xfId="14" applyNumberFormat="1" applyFont="1" applyFill="1" applyBorder="1" applyAlignment="1" applyProtection="1">
      <alignment horizontal="center" wrapText="1"/>
    </xf>
    <xf numFmtId="167" fontId="47" fillId="21" borderId="12" xfId="14" applyNumberFormat="1" applyFont="1" applyFill="1" applyBorder="1" applyAlignment="1" applyProtection="1">
      <alignment horizontal="center" wrapText="1"/>
    </xf>
    <xf numFmtId="0" fontId="7" fillId="0" borderId="0" xfId="14" applyFont="1" applyBorder="1" applyProtection="1"/>
    <xf numFmtId="0" fontId="7" fillId="0" borderId="0" xfId="14" applyFont="1" applyFill="1" applyBorder="1" applyAlignment="1" applyProtection="1">
      <alignment horizontal="center" wrapText="1"/>
    </xf>
    <xf numFmtId="6" fontId="7" fillId="20" borderId="0" xfId="14" applyNumberFormat="1" applyFont="1" applyFill="1" applyBorder="1" applyAlignment="1" applyProtection="1">
      <alignment horizontal="center"/>
    </xf>
    <xf numFmtId="172" fontId="7" fillId="0" borderId="0" xfId="15" applyNumberFormat="1" applyFont="1" applyFill="1" applyBorder="1" applyAlignment="1" applyProtection="1">
      <alignment horizontal="center"/>
    </xf>
    <xf numFmtId="8" fontId="7" fillId="20" borderId="0" xfId="14" applyNumberFormat="1" applyFont="1" applyFill="1" applyBorder="1" applyAlignment="1" applyProtection="1">
      <alignment horizontal="center"/>
    </xf>
    <xf numFmtId="10" fontId="7" fillId="0" borderId="0" xfId="15" applyNumberFormat="1" applyFont="1" applyFill="1" applyBorder="1" applyAlignment="1" applyProtection="1">
      <alignment horizontal="center"/>
    </xf>
    <xf numFmtId="6" fontId="7" fillId="0" borderId="0" xfId="14" applyNumberFormat="1" applyFont="1" applyFill="1" applyBorder="1" applyAlignment="1" applyProtection="1">
      <alignment horizontal="center"/>
    </xf>
    <xf numFmtId="0" fontId="7" fillId="0" borderId="0" xfId="14" applyFont="1" applyFill="1" applyBorder="1" applyProtection="1"/>
    <xf numFmtId="167" fontId="7" fillId="0" borderId="0" xfId="14" applyNumberFormat="1" applyFont="1" applyFill="1" applyBorder="1" applyProtection="1"/>
    <xf numFmtId="0" fontId="7" fillId="0" borderId="5" xfId="14" applyFont="1" applyFill="1" applyBorder="1" applyAlignment="1" applyProtection="1">
      <alignment horizontal="center" wrapText="1"/>
    </xf>
    <xf numFmtId="6" fontId="7" fillId="20" borderId="5" xfId="14" applyNumberFormat="1" applyFont="1" applyFill="1" applyBorder="1" applyAlignment="1" applyProtection="1">
      <alignment horizontal="center"/>
    </xf>
    <xf numFmtId="172" fontId="7" fillId="0" borderId="5" xfId="15" applyNumberFormat="1" applyFont="1" applyFill="1" applyBorder="1" applyAlignment="1" applyProtection="1">
      <alignment horizontal="center"/>
    </xf>
    <xf numFmtId="8" fontId="7" fillId="20" borderId="5" xfId="14" applyNumberFormat="1" applyFont="1" applyFill="1" applyBorder="1" applyAlignment="1" applyProtection="1">
      <alignment horizontal="center"/>
    </xf>
    <xf numFmtId="10" fontId="7" fillId="0" borderId="5" xfId="15" applyNumberFormat="1" applyFont="1" applyFill="1" applyBorder="1" applyAlignment="1" applyProtection="1">
      <alignment horizontal="center"/>
    </xf>
    <xf numFmtId="6" fontId="7" fillId="0" borderId="5" xfId="14" applyNumberFormat="1" applyFont="1" applyFill="1" applyBorder="1" applyAlignment="1" applyProtection="1">
      <alignment horizontal="center"/>
    </xf>
    <xf numFmtId="0" fontId="7" fillId="0" borderId="5" xfId="14" applyFont="1" applyFill="1" applyBorder="1" applyProtection="1"/>
    <xf numFmtId="168" fontId="7" fillId="0" borderId="5" xfId="16" applyNumberFormat="1" applyFont="1" applyFill="1" applyBorder="1" applyProtection="1"/>
    <xf numFmtId="0" fontId="7" fillId="9" borderId="5" xfId="14" applyFont="1" applyFill="1" applyBorder="1" applyAlignment="1" applyProtection="1">
      <alignment horizontal="center" wrapText="1"/>
    </xf>
    <xf numFmtId="6" fontId="7" fillId="9" borderId="5" xfId="14" applyNumberFormat="1" applyFont="1" applyFill="1" applyBorder="1" applyAlignment="1" applyProtection="1">
      <alignment horizontal="center"/>
    </xf>
    <xf numFmtId="8" fontId="7" fillId="9" borderId="5" xfId="14" applyNumberFormat="1" applyFont="1" applyFill="1" applyBorder="1" applyAlignment="1" applyProtection="1">
      <alignment horizontal="center"/>
    </xf>
    <xf numFmtId="167" fontId="7" fillId="0" borderId="0" xfId="14" applyNumberFormat="1" applyFont="1" applyFill="1" applyBorder="1" applyAlignment="1" applyProtection="1">
      <alignment horizontal="right"/>
    </xf>
    <xf numFmtId="0" fontId="7" fillId="0" borderId="3" xfId="14" applyFont="1" applyFill="1" applyBorder="1" applyAlignment="1" applyProtection="1">
      <alignment horizontal="center" wrapText="1"/>
    </xf>
    <xf numFmtId="6" fontId="7" fillId="20" borderId="3" xfId="14" applyNumberFormat="1" applyFont="1" applyFill="1" applyBorder="1" applyAlignment="1" applyProtection="1">
      <alignment horizontal="center"/>
    </xf>
    <xf numFmtId="172" fontId="7" fillId="0" borderId="3" xfId="15" applyNumberFormat="1" applyFont="1" applyFill="1" applyBorder="1" applyAlignment="1" applyProtection="1">
      <alignment horizontal="center"/>
    </xf>
    <xf numFmtId="8" fontId="7" fillId="20" borderId="3" xfId="14" applyNumberFormat="1" applyFont="1" applyFill="1" applyBorder="1" applyAlignment="1" applyProtection="1">
      <alignment horizontal="center"/>
    </xf>
    <xf numFmtId="10" fontId="7" fillId="0" borderId="3" xfId="15" applyNumberFormat="1" applyFont="1" applyFill="1" applyBorder="1" applyAlignment="1" applyProtection="1">
      <alignment horizontal="center"/>
    </xf>
    <xf numFmtId="6" fontId="7" fillId="0" borderId="3" xfId="14" applyNumberFormat="1" applyFont="1" applyFill="1" applyBorder="1" applyAlignment="1" applyProtection="1">
      <alignment horizontal="center"/>
    </xf>
    <xf numFmtId="168" fontId="7" fillId="0" borderId="3" xfId="16" applyNumberFormat="1" applyFont="1" applyFill="1" applyBorder="1" applyProtection="1"/>
    <xf numFmtId="6" fontId="7" fillId="11" borderId="5" xfId="14" applyNumberFormat="1" applyFont="1" applyFill="1" applyBorder="1" applyAlignment="1" applyProtection="1">
      <alignment horizontal="center"/>
    </xf>
    <xf numFmtId="6" fontId="7" fillId="2" borderId="5" xfId="14" applyNumberFormat="1" applyFont="1" applyFill="1" applyBorder="1" applyAlignment="1" applyProtection="1">
      <alignment horizontal="center"/>
    </xf>
    <xf numFmtId="6" fontId="7" fillId="8" borderId="5" xfId="14" applyNumberFormat="1" applyFont="1" applyFill="1" applyBorder="1" applyAlignment="1" applyProtection="1">
      <alignment horizontal="center"/>
    </xf>
    <xf numFmtId="167" fontId="7" fillId="0" borderId="5" xfId="14" applyNumberFormat="1" applyFont="1" applyFill="1" applyBorder="1" applyProtection="1"/>
    <xf numFmtId="167" fontId="7" fillId="0" borderId="5" xfId="14" applyNumberFormat="1" applyFont="1" applyFill="1" applyBorder="1" applyAlignment="1" applyProtection="1">
      <alignment horizontal="right"/>
    </xf>
    <xf numFmtId="0" fontId="4" fillId="0" borderId="6" xfId="14" applyFont="1" applyBorder="1" applyAlignment="1" applyProtection="1">
      <alignment horizontal="center" wrapText="1"/>
    </xf>
    <xf numFmtId="167" fontId="11" fillId="21" borderId="7" xfId="14" applyNumberFormat="1" applyFont="1" applyFill="1" applyBorder="1" applyAlignment="1" applyProtection="1">
      <alignment horizontal="center" wrapText="1"/>
    </xf>
    <xf numFmtId="167" fontId="7" fillId="0" borderId="0" xfId="14" applyNumberFormat="1" applyFont="1" applyBorder="1" applyProtection="1"/>
    <xf numFmtId="0" fontId="7" fillId="0" borderId="11" xfId="14" applyFont="1" applyBorder="1" applyProtection="1"/>
    <xf numFmtId="6" fontId="7" fillId="0" borderId="12" xfId="14" applyNumberFormat="1" applyFont="1" applyFill="1" applyBorder="1" applyAlignment="1" applyProtection="1">
      <alignment horizontal="center"/>
    </xf>
    <xf numFmtId="168" fontId="7" fillId="0" borderId="12" xfId="16" applyNumberFormat="1" applyFont="1" applyFill="1" applyBorder="1" applyProtection="1"/>
    <xf numFmtId="6" fontId="7" fillId="0" borderId="12" xfId="14" applyNumberFormat="1" applyFont="1" applyFill="1" applyBorder="1" applyAlignment="1" applyProtection="1"/>
    <xf numFmtId="0" fontId="4" fillId="20" borderId="7" xfId="14" applyFont="1" applyFill="1" applyBorder="1" applyAlignment="1" applyProtection="1">
      <alignment horizontal="center" wrapText="1"/>
    </xf>
    <xf numFmtId="0" fontId="4" fillId="0" borderId="7" xfId="14" applyFont="1" applyFill="1" applyBorder="1" applyAlignment="1" applyProtection="1">
      <alignment horizontal="center" wrapText="1"/>
    </xf>
    <xf numFmtId="6" fontId="4" fillId="20" borderId="7" xfId="14" applyNumberFormat="1" applyFont="1" applyFill="1" applyBorder="1" applyAlignment="1" applyProtection="1">
      <alignment horizontal="center" wrapText="1"/>
    </xf>
    <xf numFmtId="0" fontId="4" fillId="0" borderId="8" xfId="14" applyFont="1" applyFill="1" applyBorder="1" applyAlignment="1" applyProtection="1">
      <alignment horizontal="center" wrapText="1"/>
    </xf>
    <xf numFmtId="0" fontId="7" fillId="0" borderId="22" xfId="14" applyFont="1" applyFill="1" applyBorder="1" applyAlignment="1" applyProtection="1">
      <alignment horizontal="center" wrapText="1"/>
    </xf>
    <xf numFmtId="6" fontId="7" fillId="22" borderId="18" xfId="14" applyNumberFormat="1" applyFont="1" applyFill="1" applyBorder="1" applyAlignment="1" applyProtection="1">
      <alignment horizontal="center"/>
    </xf>
    <xf numFmtId="10" fontId="7" fillId="0" borderId="18" xfId="15" applyNumberFormat="1" applyFont="1" applyFill="1" applyBorder="1" applyAlignment="1" applyProtection="1">
      <alignment horizontal="center"/>
    </xf>
    <xf numFmtId="8" fontId="7" fillId="22" borderId="18" xfId="14" applyNumberFormat="1" applyFont="1" applyFill="1" applyBorder="1" applyAlignment="1" applyProtection="1">
      <alignment horizontal="center"/>
    </xf>
    <xf numFmtId="6" fontId="7" fillId="0" borderId="18" xfId="14" applyNumberFormat="1" applyFont="1" applyFill="1" applyBorder="1" applyAlignment="1" applyProtection="1">
      <alignment horizontal="center"/>
    </xf>
    <xf numFmtId="0" fontId="7" fillId="0" borderId="19" xfId="14" applyFont="1" applyFill="1" applyBorder="1" applyAlignment="1" applyProtection="1">
      <alignment horizontal="center" wrapText="1"/>
    </xf>
    <xf numFmtId="6" fontId="7" fillId="22" borderId="5" xfId="14" applyNumberFormat="1" applyFont="1" applyFill="1" applyBorder="1" applyAlignment="1" applyProtection="1">
      <alignment horizontal="center"/>
    </xf>
    <xf numFmtId="8" fontId="7" fillId="22" borderId="5" xfId="14" applyNumberFormat="1" applyFont="1" applyFill="1" applyBorder="1" applyAlignment="1" applyProtection="1">
      <alignment horizontal="center"/>
    </xf>
    <xf numFmtId="0" fontId="7" fillId="0" borderId="21" xfId="14" applyFont="1" applyFill="1" applyBorder="1" applyAlignment="1" applyProtection="1">
      <alignment horizontal="center" wrapText="1"/>
    </xf>
    <xf numFmtId="6" fontId="7" fillId="22" borderId="14" xfId="14" applyNumberFormat="1" applyFont="1" applyFill="1" applyBorder="1" applyAlignment="1" applyProtection="1">
      <alignment horizontal="center"/>
    </xf>
    <xf numFmtId="10" fontId="7" fillId="0" borderId="14" xfId="15" applyNumberFormat="1" applyFont="1" applyFill="1" applyBorder="1" applyAlignment="1" applyProtection="1">
      <alignment horizontal="center"/>
    </xf>
    <xf numFmtId="8" fontId="7" fillId="22" borderId="14" xfId="14" applyNumberFormat="1" applyFont="1" applyFill="1" applyBorder="1" applyAlignment="1" applyProtection="1">
      <alignment horizontal="center"/>
    </xf>
    <xf numFmtId="6" fontId="7" fillId="0" borderId="14" xfId="14" applyNumberFormat="1" applyFont="1" applyFill="1" applyBorder="1" applyAlignment="1" applyProtection="1">
      <alignment horizontal="center"/>
    </xf>
    <xf numFmtId="0" fontId="7" fillId="0" borderId="22" xfId="14" applyFont="1" applyBorder="1" applyProtection="1"/>
    <xf numFmtId="168" fontId="7" fillId="0" borderId="18" xfId="16" applyNumberFormat="1" applyFont="1" applyFill="1" applyBorder="1" applyProtection="1"/>
    <xf numFmtId="0" fontId="7" fillId="0" borderId="19" xfId="14" applyFont="1" applyBorder="1" applyProtection="1"/>
    <xf numFmtId="0" fontId="7" fillId="0" borderId="21" xfId="14" applyFont="1" applyBorder="1" applyProtection="1"/>
    <xf numFmtId="168" fontId="7" fillId="0" borderId="14" xfId="16" applyNumberFormat="1" applyFont="1" applyFill="1" applyBorder="1" applyProtection="1"/>
    <xf numFmtId="168" fontId="7" fillId="6" borderId="5" xfId="16" applyNumberFormat="1" applyFont="1" applyFill="1" applyBorder="1" applyProtection="1">
      <protection locked="0"/>
    </xf>
    <xf numFmtId="10" fontId="7" fillId="6" borderId="18" xfId="15" applyNumberFormat="1" applyFont="1" applyFill="1" applyBorder="1" applyAlignment="1" applyProtection="1">
      <alignment horizontal="center"/>
      <protection locked="0"/>
    </xf>
    <xf numFmtId="10" fontId="7" fillId="6" borderId="5" xfId="15" applyNumberFormat="1" applyFont="1" applyFill="1" applyBorder="1" applyAlignment="1" applyProtection="1">
      <alignment horizontal="center"/>
      <protection locked="0"/>
    </xf>
    <xf numFmtId="10" fontId="7" fillId="6" borderId="14" xfId="15" applyNumberFormat="1" applyFont="1" applyFill="1" applyBorder="1" applyAlignment="1" applyProtection="1">
      <alignment horizontal="center"/>
      <protection locked="0"/>
    </xf>
    <xf numFmtId="168" fontId="7" fillId="6" borderId="23" xfId="16" applyNumberFormat="1" applyFont="1" applyFill="1" applyBorder="1" applyProtection="1">
      <protection locked="0"/>
    </xf>
    <xf numFmtId="168" fontId="7" fillId="6" borderId="20" xfId="16" applyNumberFormat="1" applyFont="1" applyFill="1" applyBorder="1" applyProtection="1">
      <protection locked="0"/>
    </xf>
    <xf numFmtId="168" fontId="7" fillId="6" borderId="13" xfId="16" applyNumberFormat="1" applyFont="1" applyFill="1" applyBorder="1" applyProtection="1">
      <protection locked="0"/>
    </xf>
    <xf numFmtId="168" fontId="7" fillId="6" borderId="18" xfId="16" applyNumberFormat="1" applyFont="1" applyFill="1" applyBorder="1" applyProtection="1">
      <protection locked="0"/>
    </xf>
    <xf numFmtId="6" fontId="7" fillId="6" borderId="18" xfId="14" applyNumberFormat="1" applyFont="1" applyFill="1" applyBorder="1" applyAlignment="1" applyProtection="1">
      <alignment horizontal="center"/>
      <protection locked="0"/>
    </xf>
    <xf numFmtId="6" fontId="7" fillId="6" borderId="5" xfId="14" applyNumberFormat="1" applyFont="1" applyFill="1" applyBorder="1" applyAlignment="1" applyProtection="1">
      <alignment horizontal="center"/>
      <protection locked="0"/>
    </xf>
    <xf numFmtId="168" fontId="7" fillId="6" borderId="14" xfId="16" applyNumberFormat="1" applyFont="1" applyFill="1" applyBorder="1" applyProtection="1">
      <protection locked="0"/>
    </xf>
    <xf numFmtId="6" fontId="7" fillId="6" borderId="14" xfId="14" applyNumberFormat="1" applyFont="1" applyFill="1" applyBorder="1" applyAlignment="1" applyProtection="1">
      <alignment horizontal="center"/>
      <protection locked="0"/>
    </xf>
    <xf numFmtId="0" fontId="34" fillId="0" borderId="0" xfId="6" applyFont="1" applyProtection="1"/>
    <xf numFmtId="0" fontId="1" fillId="0" borderId="0" xfId="6" applyFont="1" applyFill="1" applyBorder="1" applyProtection="1"/>
    <xf numFmtId="0" fontId="5" fillId="0" borderId="0" xfId="7" quotePrefix="1" applyFont="1" applyFill="1" applyBorder="1" applyAlignment="1" applyProtection="1">
      <alignment horizontal="center" vertical="center"/>
    </xf>
    <xf numFmtId="0" fontId="1" fillId="0" borderId="0" xfId="6" applyFont="1" applyProtection="1"/>
    <xf numFmtId="0" fontId="37" fillId="0" borderId="0" xfId="6" applyFont="1" applyFill="1" applyBorder="1" applyProtection="1"/>
    <xf numFmtId="0" fontId="4" fillId="18" borderId="15" xfId="8" applyFont="1" applyFill="1" applyBorder="1" applyAlignment="1" applyProtection="1">
      <alignment horizontal="center" wrapText="1"/>
    </xf>
    <xf numFmtId="0" fontId="1" fillId="0" borderId="0" xfId="6" applyFont="1" applyAlignment="1" applyProtection="1">
      <alignment wrapText="1"/>
    </xf>
    <xf numFmtId="0" fontId="4" fillId="18" borderId="16" xfId="8" applyFont="1" applyFill="1" applyBorder="1" applyAlignment="1" applyProtection="1">
      <alignment horizontal="center" wrapText="1"/>
    </xf>
    <xf numFmtId="0" fontId="1" fillId="0" borderId="0" xfId="6" applyFont="1" applyFill="1" applyBorder="1" applyAlignment="1" applyProtection="1">
      <alignment wrapText="1"/>
    </xf>
    <xf numFmtId="0" fontId="1" fillId="0" borderId="0" xfId="6" applyFont="1" applyFill="1" applyAlignment="1" applyProtection="1">
      <alignment wrapText="1"/>
    </xf>
    <xf numFmtId="0" fontId="30" fillId="0" borderId="0" xfId="8" applyFont="1" applyFill="1" applyBorder="1" applyAlignment="1" applyProtection="1">
      <alignment horizontal="center" wrapText="1"/>
    </xf>
    <xf numFmtId="0" fontId="39" fillId="0" borderId="0" xfId="9" applyFont="1" applyProtection="1"/>
    <xf numFmtId="42" fontId="1" fillId="0" borderId="0" xfId="10" applyNumberFormat="1" applyFont="1" applyFill="1" applyProtection="1"/>
    <xf numFmtId="0" fontId="1" fillId="0" borderId="0" xfId="6" applyFont="1" applyBorder="1" applyProtection="1"/>
    <xf numFmtId="171" fontId="7" fillId="0" borderId="0" xfId="10" applyNumberFormat="1" applyFont="1" applyProtection="1"/>
    <xf numFmtId="42" fontId="7" fillId="0" borderId="0" xfId="10" applyNumberFormat="1" applyFont="1" applyProtection="1"/>
    <xf numFmtId="42" fontId="1" fillId="0" borderId="0" xfId="6" applyNumberFormat="1" applyFont="1" applyProtection="1"/>
    <xf numFmtId="42" fontId="1" fillId="0" borderId="0" xfId="10" applyNumberFormat="1" applyFont="1" applyProtection="1"/>
    <xf numFmtId="0" fontId="31" fillId="0" borderId="15" xfId="6" applyFont="1" applyBorder="1" applyAlignment="1" applyProtection="1">
      <alignment horizontal="center"/>
    </xf>
    <xf numFmtId="0" fontId="1" fillId="3" borderId="26" xfId="6" applyFont="1" applyFill="1" applyBorder="1" applyAlignment="1" applyProtection="1">
      <alignment horizontal="center"/>
    </xf>
    <xf numFmtId="0" fontId="1" fillId="3" borderId="0" xfId="6" applyFont="1" applyFill="1" applyBorder="1" applyAlignment="1" applyProtection="1">
      <alignment horizontal="center"/>
    </xf>
    <xf numFmtId="0" fontId="1" fillId="3" borderId="27" xfId="6" applyFont="1" applyFill="1" applyBorder="1" applyAlignment="1" applyProtection="1">
      <alignment horizontal="center"/>
    </xf>
    <xf numFmtId="0" fontId="7" fillId="0" borderId="0" xfId="9" applyFont="1" applyAlignment="1" applyProtection="1">
      <alignment horizontal="left" indent="2"/>
    </xf>
    <xf numFmtId="172" fontId="1" fillId="0" borderId="17" xfId="6" applyNumberFormat="1" applyFont="1" applyFill="1" applyBorder="1" applyAlignment="1" applyProtection="1">
      <alignment horizontal="center"/>
    </xf>
    <xf numFmtId="0" fontId="40" fillId="0" borderId="0" xfId="6" applyFont="1" applyProtection="1"/>
    <xf numFmtId="41" fontId="1" fillId="0" borderId="0" xfId="10" applyNumberFormat="1" applyFont="1" applyProtection="1"/>
    <xf numFmtId="41" fontId="1" fillId="0" borderId="0" xfId="10" applyNumberFormat="1" applyFont="1" applyFill="1" applyProtection="1"/>
    <xf numFmtId="173" fontId="1" fillId="0" borderId="0" xfId="11" applyNumberFormat="1" applyFont="1" applyProtection="1"/>
    <xf numFmtId="10" fontId="1" fillId="0" borderId="26" xfId="6" applyNumberFormat="1" applyFont="1" applyBorder="1" applyProtection="1"/>
    <xf numFmtId="10" fontId="1" fillId="0" borderId="0" xfId="6" applyNumberFormat="1" applyFont="1" applyBorder="1" applyProtection="1"/>
    <xf numFmtId="10" fontId="1" fillId="0" borderId="27" xfId="6" applyNumberFormat="1" applyFont="1" applyBorder="1" applyProtection="1"/>
    <xf numFmtId="10" fontId="1" fillId="0" borderId="28" xfId="6" applyNumberFormat="1" applyFont="1" applyBorder="1" applyProtection="1"/>
    <xf numFmtId="10" fontId="1" fillId="0" borderId="18" xfId="6" applyNumberFormat="1" applyFont="1" applyBorder="1" applyProtection="1"/>
    <xf numFmtId="10" fontId="1" fillId="0" borderId="29" xfId="6" applyNumberFormat="1" applyFont="1" applyBorder="1" applyProtection="1"/>
    <xf numFmtId="0" fontId="7" fillId="0" borderId="0" xfId="9" applyFont="1" applyFill="1" applyAlignment="1" applyProtection="1">
      <alignment horizontal="left" indent="2"/>
    </xf>
    <xf numFmtId="0" fontId="1" fillId="0" borderId="17" xfId="6" applyFont="1" applyBorder="1" applyAlignment="1" applyProtection="1">
      <alignment horizontal="center"/>
    </xf>
    <xf numFmtId="41" fontId="41" fillId="0" borderId="0" xfId="10" applyNumberFormat="1" applyFont="1" applyProtection="1"/>
    <xf numFmtId="41" fontId="41" fillId="0" borderId="0" xfId="10" applyNumberFormat="1" applyFont="1" applyFill="1" applyProtection="1"/>
    <xf numFmtId="0" fontId="39" fillId="0" borderId="0" xfId="9" applyFont="1" applyAlignment="1" applyProtection="1">
      <alignment horizontal="left"/>
    </xf>
    <xf numFmtId="42" fontId="4" fillId="0" borderId="0" xfId="10" applyNumberFormat="1" applyFont="1" applyProtection="1"/>
    <xf numFmtId="42" fontId="4" fillId="0" borderId="0" xfId="10" applyNumberFormat="1" applyFont="1" applyFill="1" applyProtection="1"/>
    <xf numFmtId="0" fontId="29" fillId="0" borderId="0" xfId="9" applyFont="1" applyAlignment="1" applyProtection="1">
      <alignment horizontal="left"/>
    </xf>
    <xf numFmtId="0" fontId="7" fillId="0" borderId="0" xfId="6" applyFont="1" applyAlignment="1" applyProtection="1">
      <alignment horizontal="right"/>
    </xf>
    <xf numFmtId="0" fontId="7" fillId="0" borderId="0" xfId="6" applyFont="1" applyProtection="1"/>
    <xf numFmtId="172" fontId="1" fillId="0" borderId="0" xfId="12" applyNumberFormat="1" applyFont="1" applyFill="1" applyBorder="1" applyAlignment="1" applyProtection="1">
      <alignment horizontal="right"/>
    </xf>
    <xf numFmtId="42" fontId="42" fillId="0" borderId="0" xfId="10" applyNumberFormat="1" applyFont="1" applyProtection="1"/>
    <xf numFmtId="10" fontId="1" fillId="0" borderId="0" xfId="12" applyNumberFormat="1" applyFont="1" applyBorder="1" applyProtection="1"/>
    <xf numFmtId="0" fontId="29" fillId="0" borderId="0" xfId="9" applyFont="1" applyProtection="1"/>
    <xf numFmtId="41" fontId="1" fillId="0" borderId="0" xfId="6" applyNumberFormat="1" applyFont="1" applyProtection="1"/>
    <xf numFmtId="172" fontId="1" fillId="0" borderId="0" xfId="6" applyNumberFormat="1" applyFont="1" applyFill="1" applyBorder="1" applyProtection="1"/>
    <xf numFmtId="172" fontId="1" fillId="0" borderId="0" xfId="6" applyNumberFormat="1" applyFont="1" applyBorder="1" applyProtection="1"/>
    <xf numFmtId="172" fontId="19" fillId="0" borderId="0" xfId="6" applyNumberFormat="1" applyFont="1" applyFill="1" applyBorder="1" applyAlignment="1" applyProtection="1">
      <alignment horizontal="center"/>
    </xf>
    <xf numFmtId="0" fontId="4" fillId="0" borderId="0" xfId="9" applyFont="1" applyAlignment="1" applyProtection="1">
      <alignment horizontal="left"/>
    </xf>
    <xf numFmtId="172" fontId="19" fillId="0" borderId="0" xfId="6" applyNumberFormat="1" applyFont="1" applyFill="1" applyBorder="1" applyAlignment="1" applyProtection="1">
      <alignment horizontal="left"/>
    </xf>
    <xf numFmtId="5" fontId="1" fillId="0" borderId="0" xfId="10" applyNumberFormat="1" applyFont="1" applyProtection="1"/>
    <xf numFmtId="42" fontId="42" fillId="0" borderId="0" xfId="10" applyNumberFormat="1" applyFont="1" applyFill="1" applyProtection="1"/>
    <xf numFmtId="0" fontId="34" fillId="0" borderId="0" xfId="6" applyFont="1" applyBorder="1" applyProtection="1"/>
    <xf numFmtId="43" fontId="19" fillId="0" borderId="0" xfId="13" applyFont="1" applyFill="1" applyBorder="1" applyAlignment="1" applyProtection="1">
      <alignment horizontal="center"/>
    </xf>
    <xf numFmtId="42" fontId="43" fillId="0" borderId="0" xfId="10" applyNumberFormat="1" applyFont="1" applyProtection="1"/>
    <xf numFmtId="42" fontId="43" fillId="0" borderId="0" xfId="10" applyNumberFormat="1" applyFont="1" applyFill="1" applyProtection="1"/>
    <xf numFmtId="44" fontId="1" fillId="0" borderId="0" xfId="6" applyNumberFormat="1" applyFont="1" applyProtection="1"/>
    <xf numFmtId="42" fontId="1" fillId="0" borderId="0" xfId="10" applyNumberFormat="1" applyFont="1" applyBorder="1" applyProtection="1"/>
    <xf numFmtId="0" fontId="22" fillId="0" borderId="0" xfId="3" applyFont="1" applyProtection="1"/>
    <xf numFmtId="0" fontId="22" fillId="0" borderId="0" xfId="3" applyFont="1" applyFill="1" applyProtection="1"/>
    <xf numFmtId="0" fontId="1" fillId="0" borderId="0" xfId="6" applyFont="1" applyFill="1" applyProtection="1"/>
    <xf numFmtId="42" fontId="1" fillId="0" borderId="0" xfId="10" applyNumberFormat="1" applyFont="1" applyFill="1" applyBorder="1" applyProtection="1"/>
    <xf numFmtId="0" fontId="1" fillId="0" borderId="0" xfId="6" applyFont="1" applyAlignment="1" applyProtection="1">
      <alignment horizontal="left" indent="2"/>
    </xf>
    <xf numFmtId="1" fontId="1" fillId="0" borderId="0" xfId="6" applyNumberFormat="1" applyFont="1" applyProtection="1"/>
    <xf numFmtId="0" fontId="7" fillId="0" borderId="12" xfId="14" applyFont="1" applyBorder="1" applyAlignment="1" applyProtection="1"/>
    <xf numFmtId="0" fontId="1" fillId="0" borderId="0" xfId="6" applyFont="1" applyBorder="1" applyAlignment="1" applyProtection="1">
      <alignment horizontal="center"/>
    </xf>
    <xf numFmtId="0" fontId="1" fillId="0" borderId="0" xfId="6" applyFont="1" applyFill="1" applyBorder="1" applyAlignment="1" applyProtection="1">
      <alignment horizontal="center"/>
    </xf>
    <xf numFmtId="10" fontId="1" fillId="0" borderId="0" xfId="6" applyNumberFormat="1" applyFont="1" applyFill="1" applyBorder="1" applyProtection="1"/>
    <xf numFmtId="170" fontId="1" fillId="0" borderId="0" xfId="1" applyNumberFormat="1" applyFont="1" applyProtection="1"/>
    <xf numFmtId="0" fontId="0" fillId="0" borderId="4" xfId="0" applyFont="1" applyBorder="1" applyAlignment="1" applyProtection="1">
      <alignment horizontal="center" vertical="top"/>
      <protection locked="0"/>
    </xf>
    <xf numFmtId="0" fontId="2" fillId="5" borderId="0" xfId="0" applyFont="1" applyFill="1" applyAlignment="1">
      <alignment horizontal="center"/>
    </xf>
    <xf numFmtId="0" fontId="0" fillId="8" borderId="0" xfId="0" applyFill="1"/>
    <xf numFmtId="44" fontId="0" fillId="8" borderId="0" xfId="1" applyFont="1" applyFill="1"/>
    <xf numFmtId="44" fontId="0" fillId="0" borderId="0" xfId="1" applyFont="1"/>
    <xf numFmtId="44" fontId="0" fillId="0" borderId="0" xfId="0" applyNumberFormat="1"/>
    <xf numFmtId="44" fontId="2" fillId="0" borderId="5" xfId="0" applyNumberFormat="1" applyFont="1" applyBorder="1"/>
    <xf numFmtId="0" fontId="0" fillId="0" borderId="0" xfId="0" applyAlignment="1">
      <alignment horizontal="center"/>
    </xf>
    <xf numFmtId="44" fontId="0" fillId="8" borderId="0" xfId="0" applyNumberFormat="1" applyFill="1"/>
    <xf numFmtId="172" fontId="1" fillId="6" borderId="17" xfId="6" applyNumberFormat="1" applyFont="1" applyFill="1" applyBorder="1" applyAlignment="1" applyProtection="1">
      <alignment horizontal="center"/>
      <protection locked="0"/>
    </xf>
    <xf numFmtId="172" fontId="1" fillId="6" borderId="16" xfId="6" applyNumberFormat="1" applyFont="1" applyFill="1" applyBorder="1" applyAlignment="1" applyProtection="1">
      <alignment horizontal="center"/>
      <protection locked="0"/>
    </xf>
    <xf numFmtId="172" fontId="1" fillId="6" borderId="16" xfId="12" applyNumberFormat="1" applyFont="1" applyFill="1" applyBorder="1" applyAlignment="1" applyProtection="1">
      <alignment horizontal="center"/>
      <protection locked="0"/>
    </xf>
    <xf numFmtId="172" fontId="1" fillId="0" borderId="0" xfId="6" applyNumberFormat="1" applyFont="1" applyBorder="1" applyAlignment="1" applyProtection="1">
      <alignment horizontal="center"/>
    </xf>
    <xf numFmtId="5" fontId="1" fillId="0" borderId="0" xfId="10" applyNumberFormat="1" applyFont="1" applyFill="1" applyProtection="1"/>
    <xf numFmtId="172" fontId="1" fillId="0" borderId="0" xfId="12" applyNumberFormat="1" applyFont="1" applyFill="1" applyBorder="1" applyAlignment="1" applyProtection="1">
      <alignment horizontal="center"/>
    </xf>
    <xf numFmtId="0" fontId="1" fillId="0" borderId="0" xfId="6" applyFont="1" applyFill="1" applyAlignment="1" applyProtection="1">
      <alignment horizontal="left" indent="2"/>
    </xf>
    <xf numFmtId="41" fontId="1" fillId="6" borderId="0" xfId="10" applyNumberFormat="1" applyFont="1" applyFill="1" applyProtection="1">
      <protection locked="0"/>
    </xf>
    <xf numFmtId="0" fontId="7" fillId="0" borderId="0" xfId="9" applyFont="1" applyAlignment="1" applyProtection="1">
      <alignment horizontal="left"/>
    </xf>
    <xf numFmtId="0" fontId="28" fillId="4" borderId="0" xfId="0" applyFont="1" applyFill="1" applyAlignment="1" applyProtection="1">
      <alignment horizontal="left"/>
    </xf>
    <xf numFmtId="0" fontId="28" fillId="4" borderId="0" xfId="0" applyFont="1" applyFill="1" applyAlignment="1" applyProtection="1">
      <alignment horizontal="left" wrapText="1"/>
    </xf>
    <xf numFmtId="0" fontId="2" fillId="11" borderId="3" xfId="0" applyFont="1" applyFill="1" applyBorder="1" applyAlignment="1" applyProtection="1">
      <alignment horizontal="right"/>
    </xf>
    <xf numFmtId="0" fontId="2" fillId="2" borderId="0" xfId="0" applyFont="1" applyFill="1" applyAlignment="1" applyProtection="1">
      <alignment horizontal="right"/>
    </xf>
    <xf numFmtId="0" fontId="0" fillId="0" borderId="1" xfId="0" applyFont="1" applyBorder="1" applyAlignment="1" applyProtection="1">
      <alignment horizontal="left" vertical="top"/>
    </xf>
    <xf numFmtId="0" fontId="1" fillId="0" borderId="5" xfId="0" applyFont="1" applyBorder="1" applyAlignment="1" applyProtection="1">
      <alignment horizontal="left" vertical="top"/>
    </xf>
    <xf numFmtId="0" fontId="1" fillId="0" borderId="2" xfId="0" applyFont="1" applyBorder="1" applyAlignment="1" applyProtection="1">
      <alignment horizontal="left" vertical="top"/>
    </xf>
    <xf numFmtId="0" fontId="0" fillId="0" borderId="1" xfId="0" applyFont="1" applyBorder="1" applyAlignment="1" applyProtection="1">
      <alignment horizontal="left" vertical="top" wrapText="1"/>
    </xf>
    <xf numFmtId="0" fontId="0" fillId="0" borderId="2" xfId="0" applyFont="1" applyBorder="1" applyAlignment="1" applyProtection="1">
      <alignment horizontal="left" vertical="top" wrapText="1"/>
    </xf>
    <xf numFmtId="0" fontId="13" fillId="10" borderId="1" xfId="0" applyFont="1" applyFill="1" applyBorder="1" applyAlignment="1" applyProtection="1">
      <alignment horizontal="center"/>
    </xf>
    <xf numFmtId="0" fontId="13" fillId="10" borderId="5" xfId="0" applyFont="1" applyFill="1" applyBorder="1" applyAlignment="1" applyProtection="1">
      <alignment horizontal="center"/>
    </xf>
    <xf numFmtId="0" fontId="13" fillId="10" borderId="2" xfId="0" applyFont="1" applyFill="1" applyBorder="1" applyAlignment="1" applyProtection="1">
      <alignment horizontal="center"/>
    </xf>
    <xf numFmtId="0" fontId="4" fillId="9" borderId="5" xfId="2" applyFont="1" applyFill="1" applyBorder="1" applyAlignment="1" applyProtection="1">
      <alignment horizontal="left" wrapText="1"/>
    </xf>
    <xf numFmtId="0" fontId="18" fillId="8" borderId="6" xfId="0" applyFont="1" applyFill="1" applyBorder="1" applyAlignment="1" applyProtection="1">
      <alignment horizontal="right"/>
    </xf>
    <xf numFmtId="0" fontId="18" fillId="8" borderId="7" xfId="0" applyFont="1" applyFill="1" applyBorder="1" applyAlignment="1" applyProtection="1">
      <alignment horizontal="right"/>
    </xf>
    <xf numFmtId="0" fontId="13" fillId="12" borderId="1" xfId="0" applyFont="1" applyFill="1" applyBorder="1" applyAlignment="1" applyProtection="1">
      <alignment horizontal="center"/>
    </xf>
    <xf numFmtId="0" fontId="13" fillId="12" borderId="5" xfId="0" applyFont="1" applyFill="1" applyBorder="1" applyAlignment="1" applyProtection="1">
      <alignment horizontal="center"/>
    </xf>
    <xf numFmtId="0" fontId="13" fillId="12" borderId="2" xfId="0" applyFont="1" applyFill="1" applyBorder="1" applyAlignment="1" applyProtection="1">
      <alignment horizontal="center"/>
    </xf>
    <xf numFmtId="0" fontId="0" fillId="0" borderId="5" xfId="0" applyFont="1" applyBorder="1" applyAlignment="1" applyProtection="1">
      <alignment horizontal="left" vertical="top" wrapText="1"/>
    </xf>
    <xf numFmtId="0" fontId="13" fillId="7" borderId="1" xfId="0" applyFont="1" applyFill="1" applyBorder="1" applyAlignment="1" applyProtection="1">
      <alignment horizontal="center"/>
    </xf>
    <xf numFmtId="0" fontId="13" fillId="7" borderId="5" xfId="0" applyFont="1" applyFill="1" applyBorder="1" applyAlignment="1" applyProtection="1">
      <alignment horizontal="center"/>
    </xf>
    <xf numFmtId="0" fontId="13" fillId="7" borderId="2" xfId="0" applyFont="1" applyFill="1" applyBorder="1" applyAlignment="1" applyProtection="1">
      <alignment horizontal="center"/>
    </xf>
    <xf numFmtId="0" fontId="4" fillId="5" borderId="5" xfId="2" applyFont="1" applyFill="1" applyBorder="1" applyAlignment="1" applyProtection="1">
      <alignment horizontal="left" wrapText="1"/>
    </xf>
    <xf numFmtId="0" fontId="23" fillId="0" borderId="0" xfId="3" applyFont="1" applyAlignment="1" applyProtection="1">
      <alignment horizontal="center"/>
    </xf>
    <xf numFmtId="0" fontId="0" fillId="0" borderId="1" xfId="0" applyFont="1" applyBorder="1" applyAlignment="1" applyProtection="1">
      <alignment horizontal="left" vertical="top"/>
      <protection locked="0"/>
    </xf>
    <xf numFmtId="0" fontId="1" fillId="0" borderId="5" xfId="0" applyFont="1" applyBorder="1" applyAlignment="1" applyProtection="1">
      <alignment horizontal="left" vertical="top"/>
      <protection locked="0"/>
    </xf>
    <xf numFmtId="0" fontId="1" fillId="0" borderId="2" xfId="0" applyFont="1" applyBorder="1" applyAlignment="1" applyProtection="1">
      <alignment horizontal="left" vertical="top"/>
      <protection locked="0"/>
    </xf>
    <xf numFmtId="0" fontId="0" fillId="0" borderId="1" xfId="0" applyFont="1" applyBorder="1" applyAlignment="1" applyProtection="1">
      <alignment horizontal="left" vertical="top" wrapText="1"/>
      <protection locked="0"/>
    </xf>
    <xf numFmtId="0" fontId="0" fillId="0" borderId="5" xfId="0" applyFont="1" applyBorder="1" applyAlignment="1" applyProtection="1">
      <alignment horizontal="left" vertical="top" wrapText="1"/>
      <protection locked="0"/>
    </xf>
    <xf numFmtId="0" fontId="0" fillId="0" borderId="2" xfId="0" applyFont="1" applyBorder="1" applyAlignment="1" applyProtection="1">
      <alignment horizontal="left" vertical="top" wrapText="1"/>
      <protection locked="0"/>
    </xf>
    <xf numFmtId="0" fontId="15" fillId="4" borderId="1" xfId="0" applyFont="1" applyFill="1" applyBorder="1" applyAlignment="1" applyProtection="1">
      <alignment horizontal="center"/>
    </xf>
    <xf numFmtId="0" fontId="15" fillId="4" borderId="5" xfId="0" applyFont="1" applyFill="1" applyBorder="1" applyAlignment="1" applyProtection="1">
      <alignment horizontal="center"/>
    </xf>
    <xf numFmtId="0" fontId="15" fillId="4" borderId="2" xfId="0" applyFont="1" applyFill="1" applyBorder="1" applyAlignment="1" applyProtection="1">
      <alignment horizontal="center"/>
    </xf>
    <xf numFmtId="0" fontId="0" fillId="0" borderId="5" xfId="0" applyFont="1" applyBorder="1" applyAlignment="1" applyProtection="1">
      <alignment horizontal="left" vertical="top"/>
      <protection locked="0"/>
    </xf>
    <xf numFmtId="0" fontId="0" fillId="0" borderId="2" xfId="0" applyFont="1" applyBorder="1" applyAlignment="1" applyProtection="1">
      <alignment horizontal="left" vertical="top"/>
      <protection locked="0"/>
    </xf>
    <xf numFmtId="0" fontId="1" fillId="0" borderId="1" xfId="0" applyFont="1" applyBorder="1" applyAlignment="1" applyProtection="1">
      <alignment horizontal="left" vertical="top"/>
    </xf>
    <xf numFmtId="0" fontId="1" fillId="0" borderId="1" xfId="0" applyFont="1" applyBorder="1" applyAlignment="1" applyProtection="1">
      <alignment horizontal="left" vertical="top"/>
      <protection locked="0"/>
    </xf>
    <xf numFmtId="0" fontId="2" fillId="3" borderId="24" xfId="6" applyFont="1" applyFill="1" applyBorder="1" applyAlignment="1" applyProtection="1">
      <alignment horizontal="center"/>
    </xf>
    <xf numFmtId="0" fontId="2" fillId="3" borderId="3" xfId="6" applyFont="1" applyFill="1" applyBorder="1" applyAlignment="1" applyProtection="1">
      <alignment horizontal="center"/>
    </xf>
    <xf numFmtId="0" fontId="2" fillId="3" borderId="25" xfId="6" applyFont="1" applyFill="1" applyBorder="1" applyAlignment="1" applyProtection="1">
      <alignment horizontal="center"/>
    </xf>
    <xf numFmtId="0" fontId="33" fillId="17" borderId="0" xfId="5" applyFont="1" applyFill="1" applyBorder="1" applyAlignment="1" applyProtection="1">
      <alignment horizontal="center"/>
    </xf>
    <xf numFmtId="0" fontId="36" fillId="17" borderId="0" xfId="5" applyFont="1" applyFill="1" applyBorder="1" applyAlignment="1" applyProtection="1">
      <alignment horizontal="center"/>
    </xf>
    <xf numFmtId="0" fontId="38" fillId="0" borderId="0" xfId="3" applyFont="1" applyAlignment="1" applyProtection="1">
      <alignment horizontal="center" vertical="top" wrapText="1"/>
    </xf>
    <xf numFmtId="0" fontId="2" fillId="0" borderId="0" xfId="6" applyFont="1" applyFill="1" applyBorder="1" applyAlignment="1" applyProtection="1">
      <alignment horizontal="center"/>
    </xf>
    <xf numFmtId="0" fontId="46" fillId="19" borderId="0" xfId="14" applyFont="1" applyFill="1" applyAlignment="1" applyProtection="1">
      <alignment horizontal="center" vertical="center"/>
    </xf>
    <xf numFmtId="0" fontId="4" fillId="6" borderId="6" xfId="14" applyFont="1" applyFill="1" applyBorder="1" applyAlignment="1" applyProtection="1">
      <alignment horizontal="center" wrapText="1"/>
    </xf>
    <xf numFmtId="0" fontId="4" fillId="6" borderId="7" xfId="14" applyFont="1" applyFill="1" applyBorder="1" applyAlignment="1" applyProtection="1">
      <alignment horizontal="center"/>
    </xf>
    <xf numFmtId="0" fontId="4" fillId="6" borderId="8" xfId="14" applyFont="1" applyFill="1" applyBorder="1" applyAlignment="1" applyProtection="1">
      <alignment horizontal="center"/>
    </xf>
    <xf numFmtId="0" fontId="7" fillId="0" borderId="18" xfId="14" applyFont="1" applyBorder="1" applyAlignment="1" applyProtection="1">
      <alignment horizontal="left"/>
    </xf>
    <xf numFmtId="0" fontId="7" fillId="0" borderId="23" xfId="14" applyFont="1" applyBorder="1" applyAlignment="1" applyProtection="1">
      <alignment horizontal="left"/>
    </xf>
    <xf numFmtId="0" fontId="7" fillId="0" borderId="5" xfId="14" applyFont="1" applyBorder="1" applyAlignment="1" applyProtection="1">
      <alignment horizontal="left"/>
    </xf>
    <xf numFmtId="0" fontId="7" fillId="0" borderId="20" xfId="14" applyFont="1" applyBorder="1" applyAlignment="1" applyProtection="1">
      <alignment horizontal="left"/>
    </xf>
    <xf numFmtId="167" fontId="11" fillId="21" borderId="7" xfId="14" applyNumberFormat="1" applyFont="1" applyFill="1" applyBorder="1" applyAlignment="1" applyProtection="1">
      <alignment horizontal="center" wrapText="1"/>
    </xf>
    <xf numFmtId="167" fontId="11" fillId="21" borderId="8" xfId="14" applyNumberFormat="1" applyFont="1" applyFill="1" applyBorder="1" applyAlignment="1" applyProtection="1">
      <alignment horizontal="center" wrapText="1"/>
    </xf>
    <xf numFmtId="0" fontId="7" fillId="0" borderId="14" xfId="14" applyFont="1" applyBorder="1" applyAlignment="1" applyProtection="1">
      <alignment horizontal="left"/>
    </xf>
    <xf numFmtId="0" fontId="7" fillId="0" borderId="13" xfId="14" applyFont="1" applyBorder="1" applyAlignment="1" applyProtection="1">
      <alignment horizontal="left"/>
    </xf>
    <xf numFmtId="167" fontId="4" fillId="6" borderId="6" xfId="14" applyNumberFormat="1" applyFont="1" applyFill="1" applyBorder="1" applyAlignment="1" applyProtection="1">
      <alignment horizontal="center" wrapText="1"/>
    </xf>
    <xf numFmtId="167" fontId="4" fillId="6" borderId="7" xfId="14" applyNumberFormat="1" applyFont="1" applyFill="1" applyBorder="1" applyAlignment="1" applyProtection="1">
      <alignment horizontal="center" wrapText="1"/>
    </xf>
    <xf numFmtId="167" fontId="4" fillId="6" borderId="8" xfId="14" applyNumberFormat="1" applyFont="1" applyFill="1" applyBorder="1" applyAlignment="1" applyProtection="1">
      <alignment horizontal="center" wrapText="1"/>
    </xf>
    <xf numFmtId="0" fontId="7" fillId="0" borderId="7" xfId="14" applyFont="1" applyBorder="1" applyAlignment="1" applyProtection="1">
      <alignment horizontal="left"/>
    </xf>
    <xf numFmtId="0" fontId="7" fillId="0" borderId="8" xfId="14" applyFont="1" applyBorder="1" applyAlignment="1" applyProtection="1">
      <alignment horizontal="left"/>
    </xf>
    <xf numFmtId="0" fontId="49" fillId="0" borderId="0" xfId="0" applyFont="1" applyAlignment="1">
      <alignment horizontal="center" wrapText="1"/>
    </xf>
    <xf numFmtId="0" fontId="21" fillId="0" borderId="4" xfId="0" applyFont="1" applyFill="1" applyBorder="1" applyAlignment="1" applyProtection="1">
      <alignment horizontal="center" vertical="center" wrapText="1"/>
    </xf>
    <xf numFmtId="1" fontId="21" fillId="0" borderId="4" xfId="0" quotePrefix="1" applyNumberFormat="1" applyFont="1" applyFill="1" applyBorder="1" applyAlignment="1" applyProtection="1">
      <alignment horizontal="right" vertical="top"/>
    </xf>
    <xf numFmtId="0" fontId="21" fillId="0" borderId="4" xfId="0" applyFont="1" applyFill="1" applyBorder="1" applyAlignment="1" applyProtection="1">
      <alignment horizontal="center" vertical="top"/>
    </xf>
    <xf numFmtId="0" fontId="21" fillId="0" borderId="4" xfId="0" applyFont="1" applyFill="1" applyBorder="1" applyAlignment="1" applyProtection="1">
      <alignment vertical="top"/>
    </xf>
    <xf numFmtId="44" fontId="21" fillId="0" borderId="4" xfId="1" applyFont="1" applyFill="1" applyBorder="1" applyAlignment="1" applyProtection="1">
      <alignment horizontal="center" vertical="top"/>
    </xf>
    <xf numFmtId="170" fontId="21" fillId="0" borderId="4" xfId="0" applyNumberFormat="1" applyFont="1" applyFill="1" applyBorder="1" applyAlignment="1" applyProtection="1">
      <alignment vertical="top"/>
    </xf>
    <xf numFmtId="170" fontId="21" fillId="0" borderId="4" xfId="1" applyNumberFormat="1" applyFont="1" applyFill="1" applyBorder="1" applyAlignment="1" applyProtection="1">
      <alignment vertical="top"/>
    </xf>
    <xf numFmtId="44" fontId="0" fillId="0" borderId="4" xfId="1" applyFont="1" applyFill="1" applyBorder="1" applyAlignment="1" applyProtection="1">
      <alignment horizontal="center" vertical="top"/>
      <protection locked="0"/>
    </xf>
    <xf numFmtId="0" fontId="0" fillId="0" borderId="4" xfId="0" applyFont="1" applyFill="1" applyBorder="1" applyAlignment="1" applyProtection="1">
      <alignment vertical="top"/>
      <protection locked="0"/>
    </xf>
  </cellXfs>
  <cellStyles count="17">
    <cellStyle name="Accent1 2" xfId="8" xr:uid="{A3A761F5-469D-4E54-8E79-8E2727A3C009}"/>
    <cellStyle name="Comma 2" xfId="11" xr:uid="{31F2CC7D-CDA2-406C-BB7E-BB0596AB965A}"/>
    <cellStyle name="Comma 3" xfId="13" xr:uid="{C88C15DC-675A-4D48-817D-12AC6388B051}"/>
    <cellStyle name="Currency" xfId="1" builtinId="4"/>
    <cellStyle name="Currency 2" xfId="4" xr:uid="{F53FCD1D-C6E8-4558-AEAC-DF03723EF687}"/>
    <cellStyle name="Currency 2 2" xfId="10" xr:uid="{E4CF581A-FA5D-416F-BBDA-A77BB8E071C3}"/>
    <cellStyle name="Currency 4" xfId="16" xr:uid="{C743E9B0-D7CB-4DB6-990C-BBBDB19273F7}"/>
    <cellStyle name="Heading 4 2" xfId="9" xr:uid="{19B6E9A4-B0D0-46AF-8263-094BD375B383}"/>
    <cellStyle name="Normal" xfId="0" builtinId="0"/>
    <cellStyle name="Normal 2" xfId="3" xr:uid="{361E1F29-44DA-46B0-AA02-F26EBB3A469A}"/>
    <cellStyle name="Normal 2 2" xfId="7" xr:uid="{96CE8C6B-9878-4DE8-864A-A29FD3507E62}"/>
    <cellStyle name="Normal 3" xfId="2" xr:uid="{4B89864D-094C-47B3-A06C-8A73DA5BE790}"/>
    <cellStyle name="Normal 3 2" xfId="6" xr:uid="{D8B1BD6F-BE02-49C4-8060-EB4234A502B2}"/>
    <cellStyle name="Normal 7" xfId="14" xr:uid="{3426D5B5-E2B1-4D8C-BA15-38EFC1E6EC9A}"/>
    <cellStyle name="Percent 2" xfId="12" xr:uid="{53FC5DDE-38AF-4F1B-8CCA-7C8B7FBCAC97}"/>
    <cellStyle name="Percent 3" xfId="15" xr:uid="{C335A1DE-D6DB-4BEA-BFE7-5663AC559E02}"/>
    <cellStyle name="Title 2" xfId="5" xr:uid="{250AA2D7-353E-47F8-ABCA-24189C79EC7E}"/>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dget/Capital%20Projects/Capital%20Projects%202017%20Quarterly%20Reports/Q4/Capital%20Project%20Budgets%20as%20of%2010-12-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data\admin\WINDOWS\Temporary%20Internet%20Files\OLK6310\TIRZNo1%20update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udget/5-year/2027/FY%202027%205-Year%20Plan%20Recommended%20ONLY%20No%20PFP%20MKT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budget/5-year/2027/27%20-%20FY%202027%20General%20Fund%205-Year%20Calculato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budget/2027/1%20-%20Budget%20Calcs/04%20FY%202027%20Masterli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budget/2020/12%20-%20Adopted%20Budget/9%20-%20Statistics/A%20-%20FY%202020%20Adopted%20All%20Stats%20COMBINED%20FUND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budget/2021/1%20-%20Budget%20Calcs/03%20FY%202021%20Expenditure%20Tracking%20L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as of 10-12-2017"/>
      <sheetName val="Revenue"/>
      <sheetName val="Expenditure"/>
      <sheetName val="Combined"/>
      <sheetName val="Category Table"/>
      <sheetName val="Project Table"/>
      <sheetName val="Future Planning - All Projects"/>
    </sheetNames>
    <sheetDataSet>
      <sheetData sheetId="0"/>
      <sheetData sheetId="1"/>
      <sheetData sheetId="2"/>
      <sheetData sheetId="3"/>
      <sheetData sheetId="4">
        <row r="2">
          <cell r="A2" t="str">
            <v>ROAD CONSTRUCTION</v>
          </cell>
          <cell r="B2" t="str">
            <v>Construction</v>
          </cell>
        </row>
        <row r="3">
          <cell r="A3" t="str">
            <v>RIGHT OF WAY ACQUISITION</v>
          </cell>
          <cell r="B3" t="str">
            <v>Right of Way</v>
          </cell>
        </row>
        <row r="4">
          <cell r="A4" t="str">
            <v>CONSULTANTS</v>
          </cell>
          <cell r="B4" t="str">
            <v>Design</v>
          </cell>
        </row>
        <row r="5">
          <cell r="A5" t="str">
            <v>UTILITY CONSTRUCTION</v>
          </cell>
          <cell r="B5" t="str">
            <v>Construction</v>
          </cell>
        </row>
        <row r="6">
          <cell r="A6" t="str">
            <v>PROGRAM CONTINGENCY</v>
          </cell>
          <cell r="B6" t="str">
            <v>Program Cont</v>
          </cell>
        </row>
        <row r="7">
          <cell r="A7" t="str">
            <v>LEGAL EXPENSE</v>
          </cell>
          <cell r="B7" t="str">
            <v>Design</v>
          </cell>
        </row>
        <row r="8">
          <cell r="A8" t="str">
            <v>APPRAISALS</v>
          </cell>
          <cell r="B8" t="str">
            <v>Design</v>
          </cell>
        </row>
        <row r="9">
          <cell r="A9" t="str">
            <v>BRIDGE CONSTRUCTION</v>
          </cell>
          <cell r="B9" t="str">
            <v>Construction</v>
          </cell>
        </row>
        <row r="10">
          <cell r="A10" t="str">
            <v>MISCELLANEOUS</v>
          </cell>
          <cell r="B10" t="str">
            <v>Design</v>
          </cell>
        </row>
        <row r="11">
          <cell r="A11" t="str">
            <v>OFFICE EQUIPMENT</v>
          </cell>
          <cell r="B11" t="str">
            <v>Equipment</v>
          </cell>
        </row>
        <row r="12">
          <cell r="A12" t="str">
            <v>PROJECT MANAGER</v>
          </cell>
          <cell r="B12" t="str">
            <v>Design</v>
          </cell>
        </row>
        <row r="13">
          <cell r="A13" t="str">
            <v>BUILDING IMPROVEMENTS</v>
          </cell>
          <cell r="B13" t="str">
            <v>Equipment</v>
          </cell>
        </row>
        <row r="14">
          <cell r="A14" t="str">
            <v>ARCHITECTURE</v>
          </cell>
          <cell r="B14" t="str">
            <v>Design</v>
          </cell>
        </row>
        <row r="15">
          <cell r="A15" t="str">
            <v>ROOF INSPECT CONSULTANT</v>
          </cell>
          <cell r="B15" t="str">
            <v>Design</v>
          </cell>
        </row>
        <row r="16">
          <cell r="A16" t="str">
            <v>EXTRAORD OFFICE SUPPLIES</v>
          </cell>
          <cell r="B16" t="str">
            <v>Equipment</v>
          </cell>
        </row>
        <row r="17">
          <cell r="A17" t="str">
            <v>EXTRAORD COMPUTER SUPPLY</v>
          </cell>
          <cell r="B17" t="str">
            <v>Equipment</v>
          </cell>
        </row>
        <row r="18">
          <cell r="A18" t="str">
            <v>SOFTWARE</v>
          </cell>
          <cell r="B18" t="str">
            <v>Equipment</v>
          </cell>
        </row>
        <row r="19">
          <cell r="A19" t="str">
            <v>OTHER INSURANCE PREMIUMS</v>
          </cell>
          <cell r="B19" t="str">
            <v>Construction</v>
          </cell>
        </row>
        <row r="20">
          <cell r="A20" t="str">
            <v>BUILDING MAINTENANCE</v>
          </cell>
          <cell r="B20" t="str">
            <v>Equipment</v>
          </cell>
        </row>
        <row r="21">
          <cell r="A21" t="str">
            <v>OTHER IMPROVEMENTS</v>
          </cell>
          <cell r="B21" t="str">
            <v>Equipment</v>
          </cell>
        </row>
        <row r="22">
          <cell r="A22" t="str">
            <v>COMPUTER EQUIPMENT</v>
          </cell>
          <cell r="B22" t="str">
            <v>Equipment</v>
          </cell>
        </row>
        <row r="23">
          <cell r="A23" t="str">
            <v>GRANT AWARDS</v>
          </cell>
          <cell r="B23" t="str">
            <v>Construction</v>
          </cell>
        </row>
        <row r="24">
          <cell r="A24" t="str">
            <v>COMPUTER SOFTWARE</v>
          </cell>
          <cell r="B24" t="str">
            <v>Equipment</v>
          </cell>
        </row>
        <row r="25">
          <cell r="A25" t="str">
            <v>TEMPORARY FULL TIME</v>
          </cell>
          <cell r="B25" t="str">
            <v>Construction</v>
          </cell>
        </row>
        <row r="26">
          <cell r="A26" t="str">
            <v>PARKING LOT CONSTRUCTION</v>
          </cell>
          <cell r="B26" t="str">
            <v>Construction</v>
          </cell>
        </row>
        <row r="27">
          <cell r="A27" t="str">
            <v>FICA/MEDICARE</v>
          </cell>
          <cell r="B27" t="str">
            <v>Construction</v>
          </cell>
        </row>
        <row r="28">
          <cell r="A28" t="str">
            <v>CONTRACT LABOR</v>
          </cell>
          <cell r="B28" t="str">
            <v>Construction</v>
          </cell>
        </row>
        <row r="29">
          <cell r="A29" t="str">
            <v>MEDICAL EQUIPMENT</v>
          </cell>
          <cell r="B29" t="str">
            <v>Equipment</v>
          </cell>
        </row>
        <row r="30">
          <cell r="A30" t="str">
            <v>OTHER WAGES</v>
          </cell>
          <cell r="B30" t="str">
            <v>Construction</v>
          </cell>
        </row>
        <row r="31">
          <cell r="A31" t="str">
            <v>RETIREMENT</v>
          </cell>
          <cell r="B31" t="str">
            <v>Construction</v>
          </cell>
        </row>
        <row r="32">
          <cell r="A32" t="str">
            <v>SERVICE AWARDS</v>
          </cell>
          <cell r="B32" t="str">
            <v>Construction</v>
          </cell>
        </row>
        <row r="33">
          <cell r="A33" t="str">
            <v>BUSINESS MEALS</v>
          </cell>
          <cell r="B33" t="str">
            <v>Construction</v>
          </cell>
        </row>
        <row r="34">
          <cell r="A34" t="str">
            <v>SERVICE AWARDS</v>
          </cell>
          <cell r="B34" t="str">
            <v>Construction</v>
          </cell>
        </row>
        <row r="35">
          <cell r="A35" t="str">
            <v>WATER TREATMENT</v>
          </cell>
          <cell r="B35" t="str">
            <v>Construction</v>
          </cell>
        </row>
        <row r="36">
          <cell r="A36" t="str">
            <v>PERMITS</v>
          </cell>
          <cell r="B36" t="str">
            <v>Design</v>
          </cell>
        </row>
        <row r="37">
          <cell r="A37" t="str">
            <v>TOOLS</v>
          </cell>
          <cell r="B37" t="str">
            <v>Equipment</v>
          </cell>
        </row>
        <row r="38">
          <cell r="A38" t="str">
            <v>GROUNDS EQUIPMENT</v>
          </cell>
          <cell r="B38" t="str">
            <v>Equipment</v>
          </cell>
        </row>
        <row r="39">
          <cell r="A39" t="str">
            <v>ROAD EQUIPMENT</v>
          </cell>
          <cell r="B39" t="str">
            <v>Equipment</v>
          </cell>
        </row>
        <row r="40">
          <cell r="A40" t="str">
            <v>SECURITY SYSTEM</v>
          </cell>
          <cell r="B40" t="str">
            <v>Equipment</v>
          </cell>
        </row>
        <row r="41">
          <cell r="A41" t="str">
            <v>COPIER EQUIPMENT</v>
          </cell>
          <cell r="B41" t="str">
            <v>Equipment</v>
          </cell>
        </row>
        <row r="42">
          <cell r="A42" t="str">
            <v>SAFETY EQUIPMENT</v>
          </cell>
          <cell r="B42" t="str">
            <v>Equipment</v>
          </cell>
        </row>
        <row r="43">
          <cell r="A43" t="str">
            <v>TELEPHONE SYSTEM</v>
          </cell>
          <cell r="B43" t="str">
            <v>Equipment</v>
          </cell>
        </row>
        <row r="44">
          <cell r="A44" t="str">
            <v>AUTOMOTIVE EQUIPMENT</v>
          </cell>
          <cell r="B44" t="str">
            <v>Equipment</v>
          </cell>
        </row>
        <row r="45">
          <cell r="A45" t="str">
            <v>LIABILITY INS RESERVE</v>
          </cell>
          <cell r="B45" t="str">
            <v>Construction</v>
          </cell>
        </row>
        <row r="46">
          <cell r="A46" t="str">
            <v>WATER UTILITY CONSTRUCTN</v>
          </cell>
          <cell r="B46" t="str">
            <v>Construction</v>
          </cell>
        </row>
        <row r="47">
          <cell r="A47" t="str">
            <v>INSURANCE PREMIUM</v>
          </cell>
          <cell r="B47" t="str">
            <v>Construction</v>
          </cell>
        </row>
        <row r="48">
          <cell r="A48" t="str">
            <v>LAND</v>
          </cell>
          <cell r="B48" t="str">
            <v>Land</v>
          </cell>
        </row>
        <row r="49">
          <cell r="A49" t="str">
            <v>LAND IMPROVEMENTS</v>
          </cell>
          <cell r="B49" t="str">
            <v>Land</v>
          </cell>
        </row>
        <row r="50">
          <cell r="A50" t="str">
            <v>PHONE EQUIPMENT</v>
          </cell>
          <cell r="B50" t="str">
            <v>Equipment</v>
          </cell>
        </row>
        <row r="51">
          <cell r="A51" t="str">
            <v>PHONE SYSTEM ADDITIONS</v>
          </cell>
          <cell r="B51" t="str">
            <v>Equipment</v>
          </cell>
        </row>
        <row r="52">
          <cell r="A52" t="str">
            <v>VIDEO EQUIPMENT</v>
          </cell>
          <cell r="B52" t="str">
            <v>Equipment</v>
          </cell>
        </row>
        <row r="53">
          <cell r="A53" t="str">
            <v>ROAD PARTICIPATION</v>
          </cell>
          <cell r="B53" t="str">
            <v>Construction</v>
          </cell>
        </row>
        <row r="54">
          <cell r="A54" t="str">
            <v>BUILDING CONSTRUCTION</v>
          </cell>
          <cell r="B54" t="str">
            <v>Construction</v>
          </cell>
        </row>
        <row r="55">
          <cell r="A55" t="str">
            <v>EDUCATION &amp; CONFERENCE</v>
          </cell>
          <cell r="B55" t="str">
            <v>Design</v>
          </cell>
        </row>
        <row r="56">
          <cell r="A56" t="str">
            <v>IN-HOUSE TRAINING</v>
          </cell>
          <cell r="B56" t="str">
            <v>Design</v>
          </cell>
        </row>
        <row r="57">
          <cell r="A57" t="str">
            <v>DAY TRAVEL MEALS REIMB</v>
          </cell>
          <cell r="B57" t="str">
            <v>Design</v>
          </cell>
        </row>
        <row r="58">
          <cell r="A58" t="str">
            <v>DUES &amp; SUBSCRIPTIONS</v>
          </cell>
          <cell r="B58" t="str">
            <v>Design</v>
          </cell>
        </row>
        <row r="59">
          <cell r="A59" t="str">
            <v>TRAINING</v>
          </cell>
          <cell r="B59" t="str">
            <v>Design</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Debt Service"/>
      <sheetName val="TIRZ Fund"/>
      <sheetName val="Coverage"/>
      <sheetName val="chart"/>
      <sheetName val="Source1"/>
    </sheetNames>
    <sheetDataSet>
      <sheetData sheetId="0" refreshError="1">
        <row r="7">
          <cell r="B7" t="str">
            <v>City of Frisco</v>
          </cell>
        </row>
        <row r="8">
          <cell r="B8" t="str">
            <v>Tax Increment Reinvestment Zone No. 1</v>
          </cell>
        </row>
      </sheetData>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sheetName val="0001"/>
      <sheetName val="1010"/>
      <sheetName val="0499"/>
      <sheetName val="1040"/>
      <sheetName val="0029"/>
      <sheetName val="6800"/>
      <sheetName val="5505"/>
      <sheetName val="Any Fund"/>
      <sheetName val="Data"/>
      <sheetName val="Balance Sheet Data"/>
      <sheetName val="BUDGET Levels"/>
      <sheetName val="SOURCE TABLE"/>
      <sheetName val="NOTES"/>
      <sheetName val="Property Tax"/>
      <sheetName val="Jail Exp Operational 11-2023"/>
      <sheetName val="Start Up Cost of District Court"/>
      <sheetName val="Start Up Cost of County Court"/>
      <sheetName val="Start Up Cost of Probate Court"/>
      <sheetName val="SO Cluster Phased In"/>
      <sheetName val="SO Jail Expansion Study"/>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F1" t="str">
            <v>Fund</v>
          </cell>
          <cell r="G1" t="str">
            <v>Fund Type</v>
          </cell>
        </row>
        <row r="2">
          <cell r="A2" t="str">
            <v>411010 - TAXES-AD VALOREM-CURRENT</v>
          </cell>
          <cell r="B2" t="str">
            <v>TAXES</v>
          </cell>
          <cell r="C2" t="str">
            <v>AD VALOREM</v>
          </cell>
          <cell r="F2" t="str">
            <v>0001 - GENERAL</v>
          </cell>
          <cell r="G2" t="str">
            <v>Operating</v>
          </cell>
        </row>
        <row r="3">
          <cell r="A3" t="str">
            <v>411011 - TAXES-AD VALOREM-DELINQUENT</v>
          </cell>
          <cell r="B3" t="str">
            <v>TAXES</v>
          </cell>
          <cell r="C3" t="str">
            <v>AD VALOREM</v>
          </cell>
          <cell r="F3" t="str">
            <v>0002 - HOUSING FINANCE CORP</v>
          </cell>
          <cell r="G3" t="str">
            <v>Other</v>
          </cell>
        </row>
        <row r="4">
          <cell r="A4" t="str">
            <v>411012 - TAXES-AD VALOREM-RENDITION PEN</v>
          </cell>
          <cell r="B4" t="str">
            <v>TAXES</v>
          </cell>
          <cell r="C4" t="str">
            <v>AD VALOREM</v>
          </cell>
          <cell r="F4" t="str">
            <v>0003 - RECORDS ARCHIVE</v>
          </cell>
          <cell r="G4" t="str">
            <v>Other</v>
          </cell>
        </row>
        <row r="5">
          <cell r="A5" t="str">
            <v>411013 - TAXES-AD VALOREM-SPL ASSESSMNT</v>
          </cell>
          <cell r="B5" t="str">
            <v>TAXES</v>
          </cell>
          <cell r="C5" t="str">
            <v>AD VALOREM</v>
          </cell>
          <cell r="F5" t="str">
            <v>0005 - DIS CTS REC TECH</v>
          </cell>
          <cell r="G5" t="str">
            <v>Other</v>
          </cell>
        </row>
        <row r="6">
          <cell r="A6" t="str">
            <v>411014 - TAXES-AD VALOREM-RED &amp; INS TAX</v>
          </cell>
          <cell r="B6" t="str">
            <v>TAXES</v>
          </cell>
          <cell r="C6" t="str">
            <v>AD VALOREM</v>
          </cell>
          <cell r="F6" t="str">
            <v>0018 - JUVENILE PROBATION</v>
          </cell>
          <cell r="G6" t="str">
            <v>Other</v>
          </cell>
        </row>
        <row r="7">
          <cell r="A7" t="str">
            <v>411015 - TAXES-AD VALOREM-PENALTY &amp; INT</v>
          </cell>
          <cell r="B7" t="str">
            <v>TAXES</v>
          </cell>
          <cell r="C7" t="str">
            <v>AD VALOREM</v>
          </cell>
          <cell r="F7" t="str">
            <v>0019 - PRE-TRIAL RELEASE</v>
          </cell>
          <cell r="G7" t="str">
            <v>Other</v>
          </cell>
        </row>
        <row r="8">
          <cell r="A8" t="str">
            <v>411019 - TAXES-AD VALOREM-CONVERSION</v>
          </cell>
          <cell r="B8" t="str">
            <v>TAXES</v>
          </cell>
          <cell r="C8" t="str">
            <v>AD VALOREM</v>
          </cell>
          <cell r="F8" t="str">
            <v>0020 - JURY</v>
          </cell>
          <cell r="G8" t="str">
            <v>Operating</v>
          </cell>
        </row>
        <row r="9">
          <cell r="A9" t="str">
            <v>412010 - TAXES-FRANCHISE TAX-CURRENT</v>
          </cell>
          <cell r="B9" t="str">
            <v>TAXES</v>
          </cell>
          <cell r="C9" t="str">
            <v>FRANCHISE TAX</v>
          </cell>
          <cell r="F9" t="str">
            <v>0022 - MYERS PARK OPERATING</v>
          </cell>
          <cell r="G9" t="str">
            <v>Other</v>
          </cell>
        </row>
        <row r="10">
          <cell r="A10" t="str">
            <v>419097 - TAXES-OTHER TAXES CONVERSION</v>
          </cell>
          <cell r="B10" t="str">
            <v>TAXES</v>
          </cell>
          <cell r="C10" t="str">
            <v>GOV WIDE CONV</v>
          </cell>
          <cell r="F10" t="str">
            <v>0029 - COURTHOUSE SECURITY</v>
          </cell>
          <cell r="G10" t="str">
            <v>Other</v>
          </cell>
        </row>
        <row r="11">
          <cell r="A11" t="str">
            <v>419098 - TAXES-SALES TAX CONVERSION ADJ</v>
          </cell>
          <cell r="B11" t="str">
            <v>TAXES</v>
          </cell>
          <cell r="C11" t="str">
            <v>GOV WIDE CONV</v>
          </cell>
          <cell r="F11" t="str">
            <v>0030 - CODE INSPECTION</v>
          </cell>
          <cell r="G11" t="str">
            <v>Other</v>
          </cell>
        </row>
        <row r="12">
          <cell r="A12" t="str">
            <v>419099 - TAXES-PROP TAX CONVERSION ADJ</v>
          </cell>
          <cell r="B12" t="str">
            <v>TAXES</v>
          </cell>
          <cell r="C12" t="str">
            <v>GOV WIDE CONV</v>
          </cell>
          <cell r="F12" t="str">
            <v>0041 - JUVENILE ALTERNATIVE ED</v>
          </cell>
          <cell r="G12" t="str">
            <v>Other</v>
          </cell>
        </row>
        <row r="13">
          <cell r="A13" t="str">
            <v>421001 - LIC&amp;PERM-BAIL BOND LICENSE</v>
          </cell>
          <cell r="B13" t="str">
            <v>LICENSE &amp; PERMITS</v>
          </cell>
          <cell r="C13" t="str">
            <v>BUSINESS LICENSE &amp; PERMIT</v>
          </cell>
          <cell r="F13" t="str">
            <v>0045 - JUVENILE OCSOP</v>
          </cell>
          <cell r="G13" t="str">
            <v>Other</v>
          </cell>
        </row>
        <row r="14">
          <cell r="A14" t="str">
            <v>422001 - LIC&amp;PERM-CULVERT PERMITS</v>
          </cell>
          <cell r="B14" t="str">
            <v>LICENSE &amp; PERMITS</v>
          </cell>
          <cell r="C14" t="str">
            <v>NONBUSINESS LICENSE/PERMIT</v>
          </cell>
          <cell r="F14" t="str">
            <v>0499 - PERMANENT IMPROVEMENT</v>
          </cell>
          <cell r="G14" t="str">
            <v>Operating</v>
          </cell>
        </row>
        <row r="15">
          <cell r="A15" t="str">
            <v>422002 - LIC&amp;PERM-SEPTIC/HEALTH PERMITS</v>
          </cell>
          <cell r="B15" t="str">
            <v>LICENSE &amp; PERMITS</v>
          </cell>
          <cell r="C15" t="str">
            <v>NONBUSINESS LICENSE/PERMIT</v>
          </cell>
          <cell r="F15" t="str">
            <v>0996 - SR-REVENUE SHARING</v>
          </cell>
          <cell r="G15" t="str">
            <v>Other</v>
          </cell>
        </row>
        <row r="16">
          <cell r="A16" t="str">
            <v>422003 - LIC&amp;PERM-BUILDING INSPECTN FEE</v>
          </cell>
          <cell r="B16" t="str">
            <v>LICENSE &amp; PERMITS</v>
          </cell>
          <cell r="C16" t="str">
            <v>NONBUSINESS LICENSE/PERMIT</v>
          </cell>
          <cell r="F16" t="str">
            <v>0997 - SR-FREEDOM PHONE</v>
          </cell>
          <cell r="G16" t="str">
            <v>Other</v>
          </cell>
        </row>
        <row r="17">
          <cell r="A17" t="str">
            <v>422004 - LIC&amp;PERM-ROW USE PERMIT FEE</v>
          </cell>
          <cell r="B17" t="str">
            <v>LICENSE &amp; PERMITS</v>
          </cell>
          <cell r="C17" t="str">
            <v>NONBUSINESS LICENSE/PERMIT</v>
          </cell>
          <cell r="F17" t="str">
            <v>0998 - DA SPECIAL SERVICE FEE</v>
          </cell>
          <cell r="G17" t="str">
            <v>Other</v>
          </cell>
        </row>
        <row r="18">
          <cell r="A18" t="str">
            <v>431001 - FED-SSI/SSA REIMBURSEMENT</v>
          </cell>
          <cell r="B18" t="str">
            <v>INTERGOVERNMENTAL REV</v>
          </cell>
          <cell r="C18" t="str">
            <v>FEERAL GOV PROCEEDS</v>
          </cell>
          <cell r="F18" t="str">
            <v>0999 - DA SPECIAL DRUG FORFEITUR</v>
          </cell>
          <cell r="G18" t="str">
            <v>Other</v>
          </cell>
        </row>
        <row r="19">
          <cell r="A19" t="str">
            <v>431002 - FED-SCAAP REIMBURSEMENT</v>
          </cell>
          <cell r="B19" t="str">
            <v>INTERGOVERNMENTAL REV</v>
          </cell>
          <cell r="C19" t="str">
            <v>FEERAL GOV PROCEEDS</v>
          </cell>
          <cell r="F19" t="str">
            <v>1010 - ROAD AND BRIDGE</v>
          </cell>
          <cell r="G19" t="str">
            <v>Operating</v>
          </cell>
        </row>
        <row r="20">
          <cell r="A20" t="str">
            <v>431003 - FED-OCDETF</v>
          </cell>
          <cell r="B20" t="str">
            <v>INTERGOVERNMENTAL REV</v>
          </cell>
          <cell r="C20" t="str">
            <v>FEERAL GOV PROCEEDS</v>
          </cell>
          <cell r="F20" t="str">
            <v>1011 - FARM TO MARKET</v>
          </cell>
          <cell r="G20" t="str">
            <v>Other</v>
          </cell>
        </row>
        <row r="21">
          <cell r="A21" t="str">
            <v>431004 - FED-FEMA DISASTER GRANT</v>
          </cell>
          <cell r="B21" t="str">
            <v>INTERGOVERNMENTAL REV</v>
          </cell>
          <cell r="C21" t="str">
            <v>FEERAL GOV PROCEEDS</v>
          </cell>
          <cell r="F21" t="str">
            <v>1012 - LATERAL ROAD</v>
          </cell>
          <cell r="G21" t="str">
            <v>Other</v>
          </cell>
        </row>
        <row r="22">
          <cell r="A22" t="str">
            <v>431005 - FED-INTEREST SUBSIDY</v>
          </cell>
          <cell r="B22" t="str">
            <v>INTERGOVERNMENTAL REV</v>
          </cell>
          <cell r="C22" t="str">
            <v>FEERAL GOV PROCEEDS</v>
          </cell>
          <cell r="F22" t="str">
            <v>1013 - JUDICIAL APPELLATE</v>
          </cell>
          <cell r="G22" t="str">
            <v>Other</v>
          </cell>
        </row>
        <row r="23">
          <cell r="A23" t="str">
            <v>431006 - FED-MEDICAID 1115</v>
          </cell>
          <cell r="B23" t="str">
            <v>INTERGOVERNMENTAL REV</v>
          </cell>
          <cell r="C23" t="str">
            <v>FEERAL GOV PROCEEDS</v>
          </cell>
          <cell r="F23" t="str">
            <v>1014 - AIR CHECK TEXAS</v>
          </cell>
          <cell r="G23" t="str">
            <v>Other</v>
          </cell>
        </row>
        <row r="24">
          <cell r="A24" t="str">
            <v>431020 - FED-NON-CAPITAL GRANT PROCEED</v>
          </cell>
          <cell r="B24" t="str">
            <v>INTERGOVERNMENTAL REV</v>
          </cell>
          <cell r="C24" t="str">
            <v>FEERAL GOV PROCEEDS</v>
          </cell>
          <cell r="F24" t="str">
            <v>1015 - COURT REPORTERS</v>
          </cell>
          <cell r="G24" t="str">
            <v>Other</v>
          </cell>
        </row>
        <row r="25">
          <cell r="A25" t="str">
            <v>431021 - FED-INDIRECT COST</v>
          </cell>
          <cell r="B25" t="str">
            <v>INTERGOVERNMENTAL REV</v>
          </cell>
          <cell r="C25" t="str">
            <v>FEERAL GOV PROCEEDS</v>
          </cell>
          <cell r="F25" t="str">
            <v>1016 - LEOSE EDUCATION</v>
          </cell>
          <cell r="G25" t="str">
            <v>Other</v>
          </cell>
        </row>
        <row r="26">
          <cell r="A26" t="str">
            <v>431089 - FED-GRANT PROCEEDS HISTORY</v>
          </cell>
          <cell r="B26" t="str">
            <v>INTERGOVERNMENTAL REV</v>
          </cell>
          <cell r="C26" t="str">
            <v>FEERAL GOV PROCEEDS</v>
          </cell>
          <cell r="F26" t="str">
            <v>1017 - TAX A/C MOTOR VEHICLE TAX</v>
          </cell>
          <cell r="G26" t="str">
            <v>Other</v>
          </cell>
        </row>
        <row r="27">
          <cell r="A27" t="str">
            <v>431090 - FED-CAPITAL GRANT PROCEEDS</v>
          </cell>
          <cell r="B27" t="str">
            <v>INTERGOVERNMENTAL REV</v>
          </cell>
          <cell r="C27" t="str">
            <v>FEERAL GOV PROCEEDS</v>
          </cell>
          <cell r="F27" t="str">
            <v>1021 - LAW LIBRARY</v>
          </cell>
          <cell r="G27" t="str">
            <v>Other</v>
          </cell>
        </row>
        <row r="28">
          <cell r="A28" t="str">
            <v>432001 - LOCAL GOV-JOINT CITY ROAD PROJ</v>
          </cell>
          <cell r="B28" t="str">
            <v>INTERGOVERNMENTAL REV</v>
          </cell>
          <cell r="C28" t="str">
            <v>LOCAL GOV PROCEEDS</v>
          </cell>
          <cell r="F28" t="str">
            <v>1023 - FARM MUSEUM MEMORIAL</v>
          </cell>
          <cell r="G28" t="str">
            <v>Other</v>
          </cell>
        </row>
        <row r="29">
          <cell r="A29" t="str">
            <v>432002 - LOCAL GOV-CITY PROJECT</v>
          </cell>
          <cell r="B29" t="str">
            <v>INTERGOVERNMENTAL REV</v>
          </cell>
          <cell r="C29" t="str">
            <v>LOCAL GOV PROCEEDS</v>
          </cell>
          <cell r="F29" t="str">
            <v>1024 - OPEN SPACE PARKS</v>
          </cell>
          <cell r="G29" t="str">
            <v>Other</v>
          </cell>
        </row>
        <row r="30">
          <cell r="A30" t="str">
            <v>432003 - LOCAL GOV-COUNTY PROJECT</v>
          </cell>
          <cell r="B30" t="str">
            <v>INTERGOVERNMENTAL REV</v>
          </cell>
          <cell r="C30" t="str">
            <v>LOCAL GOV PROCEEDS</v>
          </cell>
          <cell r="F30" t="str">
            <v>1025 - CO CLRK REC MGMT &amp; PRES</v>
          </cell>
          <cell r="G30" t="str">
            <v>Other</v>
          </cell>
        </row>
        <row r="31">
          <cell r="A31" t="str">
            <v>432004 - LOCAL GOV-STATE PROJECTS</v>
          </cell>
          <cell r="B31" t="str">
            <v>INTERGOVERNMENTAL REV</v>
          </cell>
          <cell r="C31" t="str">
            <v>LOCAL GOV PROCEEDS</v>
          </cell>
          <cell r="F31" t="str">
            <v>1026 - DIST CLRK REC MGMT &amp; PRES</v>
          </cell>
          <cell r="G31" t="str">
            <v>Other</v>
          </cell>
        </row>
        <row r="32">
          <cell r="A32" t="str">
            <v>432005 - LOCAL GOV-CITY/COUNTY PROJECTS</v>
          </cell>
          <cell r="B32" t="str">
            <v>INTERGOVERNMENTAL REV</v>
          </cell>
          <cell r="C32" t="str">
            <v>LOCAL GOV PROCEEDS</v>
          </cell>
          <cell r="F32" t="str">
            <v>1027 - JUV DELINQUENCY PREV</v>
          </cell>
          <cell r="G32" t="str">
            <v>Other</v>
          </cell>
        </row>
        <row r="33">
          <cell r="A33" t="str">
            <v>432006 - LOCAL GOV-CONTRACTED ROAD WORK</v>
          </cell>
          <cell r="B33" t="str">
            <v>INTERGOVERNMENTAL REV</v>
          </cell>
          <cell r="C33" t="str">
            <v>LOCAL GOV PROCEEDS</v>
          </cell>
          <cell r="F33" t="str">
            <v>1028 - JUSTICE COURT TECHNOLOGY</v>
          </cell>
          <cell r="G33" t="str">
            <v>Other</v>
          </cell>
        </row>
        <row r="34">
          <cell r="A34" t="str">
            <v>431007 - FED-LOCAL PROVIDER  PART FD</v>
          </cell>
          <cell r="B34" t="str">
            <v>INTERGOVERNMENTAL REV</v>
          </cell>
          <cell r="C34" t="str">
            <v>LOCAL GOV PROCEEDS</v>
          </cell>
          <cell r="F34" t="str">
            <v>1031 - ECONOMIC DEVELOPMENT 2001</v>
          </cell>
          <cell r="G34" t="str">
            <v>Other</v>
          </cell>
        </row>
        <row r="35">
          <cell r="A35" t="str">
            <v>433010 - PILT-FEDERAL</v>
          </cell>
          <cell r="B35" t="str">
            <v>INTERGOVERNMENTAL REV</v>
          </cell>
          <cell r="C35" t="str">
            <v>PAYMENTS IN LIEU OF TAXES</v>
          </cell>
          <cell r="F35" t="str">
            <v>1032 - DANGEROUS WILD ANIMAL</v>
          </cell>
          <cell r="G35" t="str">
            <v>Other</v>
          </cell>
        </row>
        <row r="36">
          <cell r="A36" t="str">
            <v>433019 - PILT-TIF DISTRIBUTION</v>
          </cell>
          <cell r="B36" t="str">
            <v>INTERGOVERNMENTAL REV</v>
          </cell>
          <cell r="C36" t="str">
            <v>PAYMENTS IN LIEU OF TAXES</v>
          </cell>
          <cell r="F36" t="str">
            <v>1033 - CONTRACT ELECTIONS</v>
          </cell>
          <cell r="G36" t="str">
            <v>Other</v>
          </cell>
        </row>
        <row r="37">
          <cell r="A37" t="str">
            <v>434001 - STATE-STATE FUNDED ROAD PROJ</v>
          </cell>
          <cell r="B37" t="str">
            <v>INTERGOVERNMENTAL REV</v>
          </cell>
          <cell r="C37" t="str">
            <v>STATE GOV PROCEEDS</v>
          </cell>
          <cell r="F37" t="str">
            <v>1034 - CHAPTER 19</v>
          </cell>
          <cell r="G37" t="str">
            <v>Other</v>
          </cell>
        </row>
        <row r="38">
          <cell r="A38" t="str">
            <v>434002 - STATE-PROGRESSIVE SANCTIONS</v>
          </cell>
          <cell r="B38" t="str">
            <v>INTERGOVERNMENTAL REV</v>
          </cell>
          <cell r="C38" t="str">
            <v>STATE GOV PROCEEDS</v>
          </cell>
          <cell r="F38" t="str">
            <v>1035 - ELECTION EQUIPMENT</v>
          </cell>
          <cell r="G38" t="str">
            <v>Other</v>
          </cell>
        </row>
        <row r="39">
          <cell r="A39" t="str">
            <v>434003 - STATE-PROGRESSIVE SANCTION-ISP</v>
          </cell>
          <cell r="B39" t="str">
            <v>INTERGOVERNMENTAL REV</v>
          </cell>
          <cell r="C39" t="str">
            <v>STATE GOV PROCEEDS</v>
          </cell>
          <cell r="F39" t="str">
            <v>1036 - SHERIFF FORFEITURE</v>
          </cell>
          <cell r="G39" t="str">
            <v>Other</v>
          </cell>
        </row>
        <row r="40">
          <cell r="A40" t="str">
            <v>434004 - STATE-WITNESS REIMBURSEMENT</v>
          </cell>
          <cell r="B40" t="str">
            <v>INTERGOVERNMENTAL REV</v>
          </cell>
          <cell r="C40" t="str">
            <v>STATE GOV PROCEEDS</v>
          </cell>
          <cell r="F40" t="str">
            <v>1037 - DA STATE FORFEITURE</v>
          </cell>
          <cell r="G40" t="str">
            <v>Other</v>
          </cell>
        </row>
        <row r="41">
          <cell r="A41" t="str">
            <v>434005 - STATE-COMPLETED PROJECT REFUND</v>
          </cell>
          <cell r="B41" t="str">
            <v>INTERGOVERNMENTAL REV</v>
          </cell>
          <cell r="C41" t="str">
            <v>STATE GOV PROCEEDS</v>
          </cell>
          <cell r="F41" t="str">
            <v>1038 - DA SERVICE FEE</v>
          </cell>
          <cell r="G41" t="str">
            <v>Other</v>
          </cell>
        </row>
        <row r="42">
          <cell r="A42" t="str">
            <v>434006 - STATE-MHMR DEPUTY</v>
          </cell>
          <cell r="B42" t="str">
            <v>INTERGOVERNMENTAL REV</v>
          </cell>
          <cell r="C42" t="str">
            <v>STATE GOV PROCEEDS</v>
          </cell>
          <cell r="F42" t="str">
            <v>1039 - MYERS PARK FOUNDATION</v>
          </cell>
          <cell r="G42" t="str">
            <v>Other</v>
          </cell>
        </row>
        <row r="43">
          <cell r="A43" t="str">
            <v>434007 - STATE-COMMODITIES PROGRAM</v>
          </cell>
          <cell r="B43" t="str">
            <v>INTERGOVERNMENTAL REV</v>
          </cell>
          <cell r="C43" t="str">
            <v>STATE GOV PROCEEDS</v>
          </cell>
          <cell r="F43" t="str">
            <v>1040 - HEALTHCARE FOUNDATION</v>
          </cell>
          <cell r="G43" t="str">
            <v>Healthcare</v>
          </cell>
        </row>
        <row r="44">
          <cell r="A44" t="str">
            <v>434008 - STATE-AMBULANCE SERVICE REIMB</v>
          </cell>
          <cell r="B44" t="str">
            <v>INTERGOVERNMENTAL REV</v>
          </cell>
          <cell r="C44" t="str">
            <v>STATE GOV PROCEEDS</v>
          </cell>
          <cell r="F44" t="str">
            <v>1042 - CHILD ABUSE PREVENTION</v>
          </cell>
          <cell r="G44" t="str">
            <v>Other</v>
          </cell>
        </row>
        <row r="45">
          <cell r="A45" t="str">
            <v>434010 - STATE CCL JUDGES SUPPLEMENT</v>
          </cell>
          <cell r="B45" t="str">
            <v>INTERGOVERNMENTAL REV</v>
          </cell>
          <cell r="C45" t="str">
            <v>STATE GOV PROCEEDS</v>
          </cell>
          <cell r="F45" t="str">
            <v>1043 - DIST CLERK CONTINGENCY</v>
          </cell>
          <cell r="G45" t="str">
            <v>Other</v>
          </cell>
        </row>
        <row r="46">
          <cell r="A46" t="str">
            <v>434011 - STATE-TOBACCO SETTLEMENT</v>
          </cell>
          <cell r="B46" t="str">
            <v>INTERGOVERNMENTAL REV</v>
          </cell>
          <cell r="C46" t="str">
            <v>STATE GOV PROCEEDS</v>
          </cell>
          <cell r="F46" t="str">
            <v>1044 - COUNTY REC MGMT &amp; PRES</v>
          </cell>
          <cell r="G46" t="str">
            <v>Other</v>
          </cell>
        </row>
        <row r="47">
          <cell r="A47" t="str">
            <v>434012 - STATE-SO SANE REIMBURSEMENT</v>
          </cell>
          <cell r="B47" t="str">
            <v>INTERGOVERNMENTAL REV</v>
          </cell>
          <cell r="C47" t="str">
            <v>STATE GOV PROCEEDS</v>
          </cell>
          <cell r="F47" t="str">
            <v>1046 - JUVENILE CASE MANAGER FND</v>
          </cell>
          <cell r="G47" t="str">
            <v>Other</v>
          </cell>
        </row>
        <row r="48">
          <cell r="A48" t="str">
            <v>434013 - STATE-ASST PROSECUTOR LNGY PAY</v>
          </cell>
          <cell r="B48" t="str">
            <v>INTERGOVERNMENTAL REV</v>
          </cell>
          <cell r="C48" t="str">
            <v>STATE GOV PROCEEDS</v>
          </cell>
          <cell r="F48" t="str">
            <v>1047 - COURT INITIATED GUARDNSHP</v>
          </cell>
          <cell r="G48" t="str">
            <v>Other</v>
          </cell>
        </row>
        <row r="49">
          <cell r="A49" t="str">
            <v>434014 - STATE-VINE</v>
          </cell>
          <cell r="B49" t="str">
            <v>INTERGOVERNMENTAL REV</v>
          </cell>
          <cell r="C49" t="str">
            <v>STATE GOV PROCEEDS</v>
          </cell>
          <cell r="F49" t="str">
            <v>1048 - ALT DISPUTE RESOLUTION</v>
          </cell>
          <cell r="G49" t="str">
            <v>Other</v>
          </cell>
        </row>
        <row r="50">
          <cell r="A50" t="str">
            <v>434015 - STATE-ELECTION TEMP REIMB-SOS</v>
          </cell>
          <cell r="B50" t="str">
            <v>INTERGOVERNMENTAL REV</v>
          </cell>
          <cell r="C50" t="str">
            <v>STATE GOV PROCEEDS</v>
          </cell>
          <cell r="F50" t="str">
            <v>1049 - DA PRETRIAL INTERVNTN PRG</v>
          </cell>
          <cell r="G50" t="str">
            <v>Other</v>
          </cell>
        </row>
        <row r="51">
          <cell r="A51" t="str">
            <v>434016 - STATE-DETERM INDIG COST EFFECT</v>
          </cell>
          <cell r="B51" t="str">
            <v>INTERGOVERNMENTAL REV</v>
          </cell>
          <cell r="C51" t="str">
            <v>STATE GOV PROCEEDS</v>
          </cell>
          <cell r="F51" t="str">
            <v>1050 - SPECIALTY COURT</v>
          </cell>
          <cell r="G51" t="str">
            <v>Other</v>
          </cell>
        </row>
        <row r="52">
          <cell r="A52" t="str">
            <v>434017 - STATE-DA FRAUD</v>
          </cell>
          <cell r="B52" t="str">
            <v>INTERGOVERNMENTAL REV</v>
          </cell>
          <cell r="C52" t="str">
            <v>STATE GOV PROCEEDS</v>
          </cell>
          <cell r="F52" t="str">
            <v>1051 - SCAAP</v>
          </cell>
          <cell r="G52" t="str">
            <v>Other</v>
          </cell>
        </row>
        <row r="53">
          <cell r="A53" t="str">
            <v>434018 - STATE-JJAEP FUNDING</v>
          </cell>
          <cell r="B53" t="str">
            <v>INTERGOVERNMENTAL REV</v>
          </cell>
          <cell r="C53" t="str">
            <v>STATE GOV PROCEEDS</v>
          </cell>
          <cell r="F53" t="str">
            <v>1052 - CTY CRTS TECHNOLOGY</v>
          </cell>
          <cell r="G53" t="str">
            <v>Other</v>
          </cell>
        </row>
        <row r="54">
          <cell r="A54" t="str">
            <v>434019 - STATE-DA SUPPLEMENT</v>
          </cell>
          <cell r="B54" t="str">
            <v>INTERGOVERNMENTAL REV</v>
          </cell>
          <cell r="C54" t="str">
            <v>STATE GOV PROCEEDS</v>
          </cell>
          <cell r="F54" t="str">
            <v>1053 - DIS CTS TECHNOLOGY</v>
          </cell>
          <cell r="G54" t="str">
            <v>Other</v>
          </cell>
        </row>
        <row r="55">
          <cell r="A55" t="str">
            <v>434020 - STATE-NON-CAPITAL GT PROCEED</v>
          </cell>
          <cell r="B55" t="str">
            <v>INTERGOVERNMENTAL REV</v>
          </cell>
          <cell r="C55" t="str">
            <v>STATE GOV PROCEEDS</v>
          </cell>
          <cell r="F55" t="str">
            <v>1054 - PROBATE CONTRIBUTIONS</v>
          </cell>
          <cell r="G55" t="str">
            <v>Other</v>
          </cell>
        </row>
        <row r="56">
          <cell r="A56" t="str">
            <v>434021 - STATE-OPIOID</v>
          </cell>
          <cell r="B56" t="str">
            <v>INTERGOVERNMENTAL REV</v>
          </cell>
          <cell r="C56" t="str">
            <v>STATE GOV PROCEEDS</v>
          </cell>
          <cell r="F56" t="str">
            <v>1055 - CCLC COURT REC PRESRVTN</v>
          </cell>
          <cell r="G56" t="str">
            <v>Other</v>
          </cell>
        </row>
        <row r="57">
          <cell r="A57" t="str">
            <v>434022 - STATE-SAFPF</v>
          </cell>
          <cell r="B57" t="str">
            <v>INTERGOVERNMENTAL REV</v>
          </cell>
          <cell r="C57" t="str">
            <v>STATE GOV PROCEEDS</v>
          </cell>
          <cell r="F57" t="str">
            <v>1056 - DIS CLRK CRT REC PRESRVTN</v>
          </cell>
          <cell r="G57" t="str">
            <v>Other</v>
          </cell>
        </row>
        <row r="58">
          <cell r="A58" t="str">
            <v>434023 - STATE-UNCLAIMED PROPERTY</v>
          </cell>
          <cell r="B58" t="str">
            <v>INTERGOVERNMENTAL REV</v>
          </cell>
          <cell r="C58" t="str">
            <v>STATE GOV PROCEEDS</v>
          </cell>
          <cell r="F58" t="str">
            <v>1057 - DA APPORTIONMENT</v>
          </cell>
          <cell r="G58" t="str">
            <v>Other</v>
          </cell>
        </row>
        <row r="59">
          <cell r="A59" t="str">
            <v>434024 - STATE-OCA-COLLECTION SOFTWARE</v>
          </cell>
          <cell r="B59" t="str">
            <v>INTERGOVERNMENTAL REV</v>
          </cell>
          <cell r="C59" t="str">
            <v>STATE GOV PROCEEDS</v>
          </cell>
          <cell r="F59" t="str">
            <v>1058 - JUSTICE CRT BLDG SECURITY</v>
          </cell>
          <cell r="G59" t="str">
            <v>Other</v>
          </cell>
        </row>
        <row r="60">
          <cell r="A60" t="str">
            <v>434025 - STATE-INDIRECT COST</v>
          </cell>
          <cell r="B60" t="str">
            <v>INTERGOVERNMENTAL REV</v>
          </cell>
          <cell r="C60" t="str">
            <v>STATE GOV PROCEEDS</v>
          </cell>
          <cell r="F60" t="str">
            <v>1059 - CCRT DRUG COURT PROGRAM</v>
          </cell>
          <cell r="G60" t="str">
            <v>Other</v>
          </cell>
        </row>
        <row r="61">
          <cell r="A61" t="str">
            <v>434036 - STATE-JUROR PMT REIMB</v>
          </cell>
          <cell r="B61" t="str">
            <v>INTERGOVERNMENTAL REV</v>
          </cell>
          <cell r="C61" t="str">
            <v>STATE GOV PROCEEDS</v>
          </cell>
          <cell r="F61" t="str">
            <v>1060 - DA FEDERAL TREASURY FORF</v>
          </cell>
          <cell r="G61" t="str">
            <v>Other</v>
          </cell>
        </row>
        <row r="62">
          <cell r="A62" t="str">
            <v>434040 - STATE-STATE FUNDING</v>
          </cell>
          <cell r="B62" t="str">
            <v>INTERGOVERNMENTAL REV</v>
          </cell>
          <cell r="C62" t="str">
            <v>STATE GOV PROCEEDS</v>
          </cell>
          <cell r="F62" t="str">
            <v>1062 - TRUANCY PREV &amp; DIVERSION</v>
          </cell>
          <cell r="G62" t="str">
            <v>Other</v>
          </cell>
        </row>
        <row r="63">
          <cell r="A63" t="str">
            <v>434041 - STATE-PROBATE EXCESS DISTRIBTN</v>
          </cell>
          <cell r="B63" t="str">
            <v>INTERGOVERNMENTAL REV</v>
          </cell>
          <cell r="C63" t="str">
            <v>STATE GOV PROCEEDS</v>
          </cell>
          <cell r="F63" t="str">
            <v>1063 - DA FEDERAL JUSTICE FORF</v>
          </cell>
          <cell r="G63" t="str">
            <v>Other</v>
          </cell>
        </row>
        <row r="64">
          <cell r="A64" t="str">
            <v>434042 - STATE-STATE PROJECT</v>
          </cell>
          <cell r="B64" t="str">
            <v>INTERGOVERNMENTAL REV</v>
          </cell>
          <cell r="C64" t="str">
            <v>STATE GOV PROCEEDS</v>
          </cell>
          <cell r="F64" t="str">
            <v>1064 - CONSTABLE 3 FORFEITURE</v>
          </cell>
          <cell r="G64" t="str">
            <v>Other</v>
          </cell>
        </row>
        <row r="65">
          <cell r="A65" t="str">
            <v>434061 - STATE-NON-CAPITAL LOCAL AGRMT</v>
          </cell>
          <cell r="B65" t="str">
            <v>INTERGOVERNMENTAL REV</v>
          </cell>
          <cell r="C65" t="str">
            <v>STATE GOV PROCEEDS</v>
          </cell>
          <cell r="F65" t="str">
            <v>1065 - SHERIFF FORFEITURE FED</v>
          </cell>
          <cell r="G65" t="str">
            <v>Other</v>
          </cell>
        </row>
        <row r="66">
          <cell r="A66" t="str">
            <v>434089 - STATE-GRANT PROCEEDS HISTORY</v>
          </cell>
          <cell r="B66" t="str">
            <v>INTERGOVERNMENTAL REV</v>
          </cell>
          <cell r="C66" t="str">
            <v>STATE GOV PROCEEDS</v>
          </cell>
          <cell r="F66" t="str">
            <v>1998 - VETERANS COURT PROGRAM</v>
          </cell>
          <cell r="G66" t="str">
            <v>Other</v>
          </cell>
        </row>
        <row r="67">
          <cell r="A67" t="str">
            <v>434090 - STATE-CAPITAL GRANT CONTRIBUTN</v>
          </cell>
          <cell r="B67" t="str">
            <v>INTERGOVERNMENTAL REV</v>
          </cell>
          <cell r="C67" t="str">
            <v>STATE GOV PROCEEDS</v>
          </cell>
          <cell r="F67" t="str">
            <v>1999 - SCAAP FUND</v>
          </cell>
          <cell r="G67" t="str">
            <v>Other</v>
          </cell>
        </row>
        <row r="68">
          <cell r="A68" t="str">
            <v>434091 - STATE-CAPITAL EQUIPMENT FUNDNG</v>
          </cell>
          <cell r="B68" t="str">
            <v>INTERGOVERNMENTAL REV</v>
          </cell>
          <cell r="C68" t="str">
            <v>STATE GOV PROCEEDS</v>
          </cell>
          <cell r="F68" t="str">
            <v>2101 - FEDERAL GRANTS</v>
          </cell>
          <cell r="G68" t="str">
            <v>Other</v>
          </cell>
        </row>
        <row r="69">
          <cell r="A69" t="str">
            <v>434092 - STATE-NCTCOG CAPITAL FUNDING</v>
          </cell>
          <cell r="B69" t="str">
            <v>INTERGOVERNMENTAL REV</v>
          </cell>
          <cell r="C69" t="str">
            <v>STATE GOV PROCEEDS</v>
          </cell>
          <cell r="F69" t="str">
            <v>2102 - PUBLIC HEALTH EMERG PREPD</v>
          </cell>
          <cell r="G69" t="str">
            <v>Other</v>
          </cell>
        </row>
        <row r="70">
          <cell r="A70" t="str">
            <v>435010 - STATE-CONST &amp; ELECT REIMB</v>
          </cell>
          <cell r="B70" t="str">
            <v>INTERGOVERNMENTAL REV</v>
          </cell>
          <cell r="C70" t="str">
            <v>STATE GOV SHARE REVENUES</v>
          </cell>
          <cell r="F70" t="str">
            <v>2103 - FEDERAL HOMELAND SEC GRNT</v>
          </cell>
          <cell r="G70" t="str">
            <v>Other</v>
          </cell>
        </row>
        <row r="71">
          <cell r="A71" t="str">
            <v>435020 - STATE-APPORTIONMENT</v>
          </cell>
          <cell r="B71" t="str">
            <v>INTERGOVERNMENTAL REV</v>
          </cell>
          <cell r="C71" t="str">
            <v>STATE GOV SHARE REVENUES</v>
          </cell>
          <cell r="F71" t="str">
            <v>2104 - CITY READINESS INITIATIVE</v>
          </cell>
          <cell r="G71" t="str">
            <v>Other</v>
          </cell>
        </row>
        <row r="72">
          <cell r="A72" t="str">
            <v>435040 - STATE-MOTOR VEHICLE FUEL TAX</v>
          </cell>
          <cell r="B72" t="str">
            <v>INTERGOVERNMENTAL REV</v>
          </cell>
          <cell r="C72" t="str">
            <v>STATE GOV SHARE REVENUES</v>
          </cell>
          <cell r="F72" t="str">
            <v>2105 - 2005 JUSTICE ASSIST GRANT</v>
          </cell>
          <cell r="G72" t="str">
            <v>Other</v>
          </cell>
        </row>
        <row r="73">
          <cell r="A73" t="str">
            <v>435050 - STATE-AIR CHECK TEXAS</v>
          </cell>
          <cell r="B73" t="str">
            <v>INTERGOVERNMENTAL REV</v>
          </cell>
          <cell r="C73" t="str">
            <v>STATE GOV SHARE REVENUES</v>
          </cell>
          <cell r="F73" t="str">
            <v>2106 - LLEBG 2003</v>
          </cell>
          <cell r="G73" t="str">
            <v>Other</v>
          </cell>
        </row>
        <row r="74">
          <cell r="A74" t="str">
            <v>435060 - STATE-LEOSE FUNDING</v>
          </cell>
          <cell r="B74" t="str">
            <v>INTERGOVERNMENTAL REV</v>
          </cell>
          <cell r="C74" t="str">
            <v>STATE GOV SHARE REVENUES</v>
          </cell>
          <cell r="F74" t="str">
            <v>2107 - LLEBG 2004</v>
          </cell>
          <cell r="G74" t="str">
            <v>Other</v>
          </cell>
        </row>
        <row r="75">
          <cell r="A75" t="str">
            <v>435070 - STATE-MIXED BEVERAGE TAX</v>
          </cell>
          <cell r="B75" t="str">
            <v>INTERGOVERNMENTAL REV</v>
          </cell>
          <cell r="C75" t="str">
            <v>STATE GOV SHARE REVENUES</v>
          </cell>
          <cell r="F75" t="str">
            <v>2108 - HEALTHCARE GRANTS</v>
          </cell>
          <cell r="G75" t="str">
            <v>Other</v>
          </cell>
        </row>
        <row r="76">
          <cell r="A76" t="str">
            <v>436001 - LOCAL GOV-MEMBER CNTY REIMB</v>
          </cell>
          <cell r="B76" t="str">
            <v>INTERGOVERNMENTAL REV</v>
          </cell>
          <cell r="C76" t="str">
            <v>LOCAL GOVERNMENTS</v>
          </cell>
          <cell r="F76" t="str">
            <v>2109 - 2006 JUSTICE ASSIST GRANT</v>
          </cell>
          <cell r="G76" t="str">
            <v>Other</v>
          </cell>
        </row>
        <row r="77">
          <cell r="A77" t="str">
            <v>436018 - LOCAL GOV-JJAEP FUNDING</v>
          </cell>
          <cell r="B77" t="str">
            <v>INTERGOVERNMENTAL REV</v>
          </cell>
          <cell r="C77" t="str">
            <v>LOCAL GOVERNMENTS</v>
          </cell>
          <cell r="F77" t="str">
            <v>2110 - 2007 JUSTICE ASSIST GRANT</v>
          </cell>
          <cell r="G77" t="str">
            <v>Other</v>
          </cell>
        </row>
        <row r="78">
          <cell r="A78" t="str">
            <v>439010 - INTERGOV REV CONV</v>
          </cell>
          <cell r="B78" t="str">
            <v>INTERGOVERNMENTAL REV</v>
          </cell>
          <cell r="C78" t="str">
            <v>GOV WIDE CONV</v>
          </cell>
          <cell r="F78" t="str">
            <v>2111 - LLEBG 2002</v>
          </cell>
          <cell r="G78" t="str">
            <v>Other</v>
          </cell>
        </row>
        <row r="79">
          <cell r="A79" t="str">
            <v>440001 - FEES/CFS-STATE FEES COMMISSION</v>
          </cell>
          <cell r="B79" t="str">
            <v>FEES/CHARGES FOR SERVICES</v>
          </cell>
          <cell r="C79" t="str">
            <v>CHARGES FOR SERVICES</v>
          </cell>
          <cell r="F79" t="str">
            <v>2112 - CPS BOARD GRANTS</v>
          </cell>
          <cell r="G79" t="str">
            <v>Other</v>
          </cell>
        </row>
        <row r="80">
          <cell r="A80" t="str">
            <v>440002 - FEES/CFS-CSCD FISCAL CHARGES</v>
          </cell>
          <cell r="B80" t="str">
            <v>FEES/CHARGES FOR SERVICES</v>
          </cell>
          <cell r="C80" t="str">
            <v>CHARGES FOR SERVICES</v>
          </cell>
          <cell r="F80" t="str">
            <v>2113 - 2008 JUSTICE ASSIST GRANT</v>
          </cell>
          <cell r="G80" t="str">
            <v>Other</v>
          </cell>
        </row>
        <row r="81">
          <cell r="A81" t="str">
            <v>440003 - FEES/CFS-LAKE PATROL</v>
          </cell>
          <cell r="B81" t="str">
            <v>FEES/CHARGES FOR SERVICES</v>
          </cell>
          <cell r="C81" t="str">
            <v>CHARGES FOR SERVICES</v>
          </cell>
          <cell r="F81" t="str">
            <v>2114 - 2009 JUSTICE ASSIST GRANT</v>
          </cell>
          <cell r="G81" t="str">
            <v>Other</v>
          </cell>
        </row>
        <row r="82">
          <cell r="A82" t="str">
            <v>440004 - FEES/CFS-NTATTF</v>
          </cell>
          <cell r="B82" t="str">
            <v>FEES/CHARGES FOR SERVICES</v>
          </cell>
          <cell r="C82" t="str">
            <v>CHARGES FOR SERVICES</v>
          </cell>
          <cell r="F82" t="str">
            <v>2115 - 2009 JAG RECOVERY ACT</v>
          </cell>
          <cell r="G82" t="str">
            <v>Other</v>
          </cell>
        </row>
        <row r="83">
          <cell r="A83" t="str">
            <v>440006 - FEES/CFS-CITY FEE/CHLD ABSE TF</v>
          </cell>
          <cell r="B83" t="str">
            <v>FEES/CHARGES FOR SERVICES</v>
          </cell>
          <cell r="C83" t="str">
            <v>CHARGES FOR SERVICES</v>
          </cell>
          <cell r="F83" t="str">
            <v>2116 - DSHS GRANT</v>
          </cell>
          <cell r="G83" t="str">
            <v>Other</v>
          </cell>
        </row>
        <row r="84">
          <cell r="A84" t="str">
            <v>440007 - FEES/CFS-CONST ABSNT STUD</v>
          </cell>
          <cell r="B84" t="str">
            <v>FEES/CHARGES FOR SERVICES</v>
          </cell>
          <cell r="C84" t="str">
            <v>CHARGES FOR SERVICES</v>
          </cell>
          <cell r="F84" t="str">
            <v>2117 - 2010 JUSTICE ASSIST GRANT</v>
          </cell>
          <cell r="G84" t="str">
            <v>Other</v>
          </cell>
        </row>
        <row r="85">
          <cell r="A85" t="str">
            <v>440008 - FEES/CFS-SALE TAX COMMISSION</v>
          </cell>
          <cell r="B85" t="str">
            <v>FEES/CHARGES FOR SERVICES</v>
          </cell>
          <cell r="C85" t="str">
            <v>CHARGES FOR SERVICES</v>
          </cell>
          <cell r="F85" t="str">
            <v>2118 - SECO STIMULUS ARRA 2011</v>
          </cell>
          <cell r="G85" t="str">
            <v>Other</v>
          </cell>
        </row>
        <row r="86">
          <cell r="A86" t="str">
            <v>440009 - FEES/CFS-TAX ASSESSOR/COL FEES</v>
          </cell>
          <cell r="B86" t="str">
            <v>FEES/CHARGES FOR SERVICES</v>
          </cell>
          <cell r="C86" t="str">
            <v>CHARGES FOR SERVICES</v>
          </cell>
          <cell r="F86" t="str">
            <v>2119 - 2011 JUSTICE ASSIST GRANT</v>
          </cell>
          <cell r="G86" t="str">
            <v>Other</v>
          </cell>
        </row>
        <row r="87">
          <cell r="A87" t="str">
            <v>440010 - FEES/CFS-FILM REELS CHARGES</v>
          </cell>
          <cell r="B87" t="str">
            <v>FEES/CHARGES FOR SERVICES</v>
          </cell>
          <cell r="C87" t="str">
            <v>CHARGES FOR SERVICES</v>
          </cell>
          <cell r="F87" t="str">
            <v>2120 - PPCS/RISK BASED</v>
          </cell>
          <cell r="G87" t="str">
            <v>Other</v>
          </cell>
        </row>
        <row r="88">
          <cell r="A88" t="str">
            <v>440011 - FEES/CFS-DISPATCH</v>
          </cell>
          <cell r="B88" t="str">
            <v>FEES/CHARGES FOR SERVICES</v>
          </cell>
          <cell r="C88" t="str">
            <v>CHARGES FOR SERVICES</v>
          </cell>
          <cell r="F88" t="str">
            <v>2121 - 2012 JUSTICE ASSIST GRANT</v>
          </cell>
          <cell r="G88" t="str">
            <v>Other</v>
          </cell>
        </row>
        <row r="89">
          <cell r="A89" t="str">
            <v>440012 - FEES/CFS-INMATE BOARDING</v>
          </cell>
          <cell r="B89" t="str">
            <v>FEES/CHARGES FOR SERVICES</v>
          </cell>
          <cell r="C89" t="str">
            <v>CHARGES FOR SERVICES</v>
          </cell>
          <cell r="F89" t="str">
            <v>2122 - 2013 JUSTICE ASSIST GRANT</v>
          </cell>
          <cell r="G89" t="str">
            <v>Other</v>
          </cell>
        </row>
        <row r="90">
          <cell r="A90" t="str">
            <v>440013 - FEES/CFS-MEALS</v>
          </cell>
          <cell r="B90" t="str">
            <v>FEES/CHARGES FOR SERVICES</v>
          </cell>
          <cell r="C90" t="str">
            <v>CHARGES FOR SERVICES</v>
          </cell>
          <cell r="F90" t="str">
            <v>2123 - 2014 JUSTICE ASSIST GRANT</v>
          </cell>
          <cell r="G90" t="str">
            <v>Other</v>
          </cell>
        </row>
        <row r="91">
          <cell r="A91" t="str">
            <v>440014 - FEES/CFS-MEDICAL SERVICES</v>
          </cell>
          <cell r="B91" t="str">
            <v>FEES/CHARGES FOR SERVICES</v>
          </cell>
          <cell r="C91" t="str">
            <v>CHARGES FOR SERVICES</v>
          </cell>
          <cell r="F91" t="str">
            <v>2124 - 2015 JUSTICE ASSIST GRANT</v>
          </cell>
          <cell r="G91" t="str">
            <v>Other</v>
          </cell>
        </row>
        <row r="92">
          <cell r="A92" t="str">
            <v>440015 - FEES/CFS-TEST/COUNSELING/TRMNT</v>
          </cell>
          <cell r="B92" t="str">
            <v>FEES/CHARGES FOR SERVICES</v>
          </cell>
          <cell r="C92" t="str">
            <v>CHARGES FOR SERVICES</v>
          </cell>
          <cell r="F92" t="str">
            <v>2125 - 2016 JUSTICE ASSIST GRANT</v>
          </cell>
          <cell r="G92" t="str">
            <v>Other</v>
          </cell>
        </row>
        <row r="93">
          <cell r="A93" t="str">
            <v>440016 - FEES/CFS-GIS SERVICES</v>
          </cell>
          <cell r="B93" t="str">
            <v>FEES/CHARGES FOR SERVICES</v>
          </cell>
          <cell r="C93" t="str">
            <v>CHARGES FOR SERVICES</v>
          </cell>
          <cell r="F93" t="str">
            <v>2126 - JUSTICE ASSIST GRANT #3</v>
          </cell>
          <cell r="G93" t="str">
            <v>Other</v>
          </cell>
        </row>
        <row r="94">
          <cell r="A94" t="str">
            <v>440017 - FEES/CFS-PHOTOGRAPHS</v>
          </cell>
          <cell r="B94" t="str">
            <v>FEES/CHARGES FOR SERVICES</v>
          </cell>
          <cell r="C94" t="str">
            <v>CHARGES FOR SERVICES</v>
          </cell>
          <cell r="F94" t="str">
            <v>2198 - LEOSE EDUCATION</v>
          </cell>
          <cell r="G94" t="str">
            <v>Other</v>
          </cell>
        </row>
        <row r="95">
          <cell r="A95" t="str">
            <v>440018 - FEES/CFS-ANIMAL SERVICES</v>
          </cell>
          <cell r="B95" t="str">
            <v>FEES/CHARGES FOR SERVICES</v>
          </cell>
          <cell r="C95" t="str">
            <v>CHARGES FOR SERVICES</v>
          </cell>
          <cell r="F95" t="str">
            <v>2580 - STATE GRANTS</v>
          </cell>
          <cell r="G95" t="str">
            <v>Other</v>
          </cell>
        </row>
        <row r="96">
          <cell r="A96" t="str">
            <v>440019 - FEES/CFS-AUTOPSY SERVICES</v>
          </cell>
          <cell r="B96" t="str">
            <v>FEES/CHARGES FOR SERVICES</v>
          </cell>
          <cell r="C96" t="str">
            <v>CHARGES FOR SERVICES</v>
          </cell>
          <cell r="F96" t="str">
            <v>2581 - TCEQ GRANT</v>
          </cell>
          <cell r="G96" t="str">
            <v>Other</v>
          </cell>
        </row>
        <row r="97">
          <cell r="A97" t="str">
            <v>440020 - FEES/CFS-BUILDING RENOVATIONS</v>
          </cell>
          <cell r="B97" t="str">
            <v>FEES/CHARGES FOR SERVICES</v>
          </cell>
          <cell r="C97" t="str">
            <v>CHARGES FOR SERVICES</v>
          </cell>
          <cell r="F97" t="str">
            <v>2582 - JUV ACCT INC BLOCK GRANT</v>
          </cell>
          <cell r="G97" t="str">
            <v>Other</v>
          </cell>
        </row>
        <row r="98">
          <cell r="A98" t="str">
            <v>440021 - FEES/CFS-PAY PHONE COMMISSION</v>
          </cell>
          <cell r="B98" t="str">
            <v>FEES/CHARGES FOR SERVICES</v>
          </cell>
          <cell r="C98" t="str">
            <v>CHARGES FOR SERVICES</v>
          </cell>
          <cell r="F98" t="str">
            <v>2583 - RTR-WYLIE PROJ (FM1378)</v>
          </cell>
          <cell r="G98" t="str">
            <v>Other</v>
          </cell>
        </row>
        <row r="99">
          <cell r="A99" t="str">
            <v>440022 - FEES/CFS-ELECTRONIC ACCESS</v>
          </cell>
          <cell r="B99" t="str">
            <v>FEES/CHARGES FOR SERVICES</v>
          </cell>
          <cell r="C99" t="str">
            <v>CHARGES FOR SERVICES</v>
          </cell>
          <cell r="F99" t="str">
            <v>2584 - RTR-OUTER LOOP PH3 75-121</v>
          </cell>
          <cell r="G99" t="str">
            <v>Other</v>
          </cell>
        </row>
        <row r="100">
          <cell r="A100" t="str">
            <v>440023 - FEES/CFS-CONCESSION REVENUE</v>
          </cell>
          <cell r="B100" t="str">
            <v>FEES/CHARGES FOR SERVICES</v>
          </cell>
          <cell r="C100" t="str">
            <v>CHARGES FOR SERVICES</v>
          </cell>
          <cell r="F100" t="str">
            <v>2585 - AIR CHECK TEXAS</v>
          </cell>
          <cell r="G100" t="str">
            <v>Other</v>
          </cell>
        </row>
        <row r="101">
          <cell r="A101" t="str">
            <v>440024 - FEES/CFS-TRAINING/SEMINAR REG</v>
          </cell>
          <cell r="B101" t="str">
            <v>FEES/CHARGES FOR SERVICES</v>
          </cell>
          <cell r="C101" t="str">
            <v>CHARGES FOR SERVICES</v>
          </cell>
          <cell r="F101" t="str">
            <v>2761 - PRIVATE SECTOR GRANTS</v>
          </cell>
          <cell r="G101" t="str">
            <v>Other</v>
          </cell>
        </row>
        <row r="102">
          <cell r="A102" t="str">
            <v>440025 - FEES/CFS-PATROL SERVICE</v>
          </cell>
          <cell r="B102" t="str">
            <v>FEES/CHARGES FOR SERVICES</v>
          </cell>
          <cell r="C102" t="str">
            <v>CHARGES FOR SERVICES</v>
          </cell>
          <cell r="F102" t="str">
            <v>2762 - TEEN COURT PROGRAM</v>
          </cell>
          <cell r="G102" t="str">
            <v>Other</v>
          </cell>
        </row>
        <row r="103">
          <cell r="A103" t="str">
            <v>440026 - FEES/CFS-SCHOOL RESOURCE OFFCR</v>
          </cell>
          <cell r="B103" t="str">
            <v>FEES/CHARGES FOR SERVICES</v>
          </cell>
          <cell r="C103" t="str">
            <v>CHARGES FOR SERVICES</v>
          </cell>
          <cell r="F103" t="str">
            <v>2899 - LOCAL AGREEMENT/FUNDING</v>
          </cell>
          <cell r="G103" t="str">
            <v>Other</v>
          </cell>
        </row>
        <row r="104">
          <cell r="A104" t="str">
            <v>440027 - FEES/CFS-SALE OF ROAD MATERIAL</v>
          </cell>
          <cell r="B104" t="str">
            <v>FEES/CHARGES FOR SERVICES</v>
          </cell>
          <cell r="C104" t="str">
            <v>CHARGES FOR SERVICES</v>
          </cell>
          <cell r="F104" t="str">
            <v>2987 - SR-JTPA TITLE III GRANT</v>
          </cell>
          <cell r="G104" t="str">
            <v>Other</v>
          </cell>
        </row>
        <row r="105">
          <cell r="A105" t="str">
            <v>440028 - FEES/CFS-SALE OF MAPS</v>
          </cell>
          <cell r="B105" t="str">
            <v>FEES/CHARGES FOR SERVICES</v>
          </cell>
          <cell r="C105" t="str">
            <v>CHARGES FOR SERVICES</v>
          </cell>
          <cell r="F105" t="str">
            <v>2988 - SR-JTPA TITLE IIA GRANT</v>
          </cell>
          <cell r="G105" t="str">
            <v>Other</v>
          </cell>
        </row>
        <row r="106">
          <cell r="A106" t="str">
            <v>440029 - FEES/CFS-ROAD MAINTENANCE</v>
          </cell>
          <cell r="B106" t="str">
            <v>FEES/CHARGES FOR SERVICES</v>
          </cell>
          <cell r="C106" t="str">
            <v>CHARGES FOR SERVICES</v>
          </cell>
          <cell r="F106" t="str">
            <v>2989 - SR-LLEBG 2001</v>
          </cell>
          <cell r="G106" t="str">
            <v>Other</v>
          </cell>
        </row>
        <row r="107">
          <cell r="A107" t="str">
            <v>440030 - FEES/CFS-POLYGRAPH</v>
          </cell>
          <cell r="B107" t="str">
            <v>FEES/CHARGES FOR SERVICES</v>
          </cell>
          <cell r="C107" t="str">
            <v>CHARGES FOR SERVICES</v>
          </cell>
          <cell r="F107" t="str">
            <v>2990 - SR-CRIME PREV GRANT 2000</v>
          </cell>
          <cell r="G107" t="str">
            <v>Other</v>
          </cell>
        </row>
        <row r="108">
          <cell r="A108" t="str">
            <v>440031 - FEES/CFS-COURT SERVICES</v>
          </cell>
          <cell r="B108" t="str">
            <v>FEES/CHARGES FOR SERVICES</v>
          </cell>
          <cell r="C108" t="str">
            <v>CHARGES FOR SERVICES</v>
          </cell>
          <cell r="F108" t="str">
            <v>2991 - SR-CRIME PREV GRANT 1999</v>
          </cell>
          <cell r="G108" t="str">
            <v>Other</v>
          </cell>
        </row>
        <row r="109">
          <cell r="A109" t="str">
            <v>440032 - FEES/CFS-LOCAL GOV CNTRCT SHRE</v>
          </cell>
          <cell r="B109" t="str">
            <v>FEES/CHARGES FOR SERVICES</v>
          </cell>
          <cell r="C109" t="str">
            <v>CHARGES FOR SERVICES</v>
          </cell>
          <cell r="F109" t="str">
            <v>2992 - SR-CRIME PREV GRANT 1998</v>
          </cell>
          <cell r="G109" t="str">
            <v>Other</v>
          </cell>
        </row>
        <row r="110">
          <cell r="A110" t="str">
            <v>440033 - FEES/CFS-FOREIGN TRAVEL VAC</v>
          </cell>
          <cell r="B110" t="str">
            <v>FEES/CHARGES FOR SERVICES</v>
          </cell>
          <cell r="C110" t="str">
            <v>CHARGES FOR SERVICES</v>
          </cell>
          <cell r="F110" t="str">
            <v>2993 - SR-VOCA GRANT</v>
          </cell>
          <cell r="G110" t="str">
            <v>Other</v>
          </cell>
        </row>
        <row r="111">
          <cell r="A111" t="str">
            <v>440034 - FEES/CFS-IMMUNIZATIONS (OTHER)</v>
          </cell>
          <cell r="B111" t="str">
            <v>FEES/CHARGES FOR SERVICES</v>
          </cell>
          <cell r="C111" t="str">
            <v>CHARGES FOR SERVICES</v>
          </cell>
          <cell r="F111" t="str">
            <v>2994 - SR-CRIME PREV GRANT 1997</v>
          </cell>
          <cell r="G111" t="str">
            <v>Other</v>
          </cell>
        </row>
        <row r="112">
          <cell r="A112" t="str">
            <v>440035 - FEES/CFS-FLU/PNEUMONIA</v>
          </cell>
          <cell r="B112" t="str">
            <v>FEES/CHARGES FOR SERVICES</v>
          </cell>
          <cell r="C112" t="str">
            <v>CHARGES FOR SERVICES</v>
          </cell>
          <cell r="F112" t="str">
            <v>2995 - SR-CRIME PREV GRANT</v>
          </cell>
          <cell r="G112" t="str">
            <v>Other</v>
          </cell>
        </row>
        <row r="113">
          <cell r="A113" t="str">
            <v>440036 - FEES/CFS-COMPR PROG INC-STD</v>
          </cell>
          <cell r="B113" t="str">
            <v>FEES/CHARGES FOR SERVICES</v>
          </cell>
          <cell r="C113" t="str">
            <v>CHARGES FOR SERVICES</v>
          </cell>
          <cell r="F113" t="str">
            <v>2996 - SR-VERONA WATER GRANT</v>
          </cell>
          <cell r="G113" t="str">
            <v>Other</v>
          </cell>
        </row>
        <row r="114">
          <cell r="A114" t="str">
            <v>440037 - FEES/CFS-COMPR PROG INC-TB</v>
          </cell>
          <cell r="B114" t="str">
            <v>FEES/CHARGES FOR SERVICES</v>
          </cell>
          <cell r="C114" t="str">
            <v>CHARGES FOR SERVICES</v>
          </cell>
          <cell r="F114" t="str">
            <v>2997 - SR-PERFORMANCE REWARD 93</v>
          </cell>
          <cell r="G114" t="str">
            <v>Other</v>
          </cell>
        </row>
        <row r="115">
          <cell r="A115" t="str">
            <v>440038 - FEES/CFS-IMMUNIZATION VFC</v>
          </cell>
          <cell r="B115" t="str">
            <v>FEES/CHARGES FOR SERVICES</v>
          </cell>
          <cell r="C115" t="str">
            <v>CHARGES FOR SERVICES</v>
          </cell>
          <cell r="F115" t="str">
            <v>2998 - SR-PERFORMANCE REWARD 92</v>
          </cell>
          <cell r="G115" t="str">
            <v>Other</v>
          </cell>
        </row>
        <row r="116">
          <cell r="A116" t="str">
            <v>440039 - FEES/CFS-MEDICAID/REG</v>
          </cell>
          <cell r="B116" t="str">
            <v>FEES/CHARGES FOR SERVICES</v>
          </cell>
          <cell r="C116" t="str">
            <v>CHARGES FOR SERVICES</v>
          </cell>
          <cell r="F116" t="str">
            <v>2999 - SR-TDCJ-CJAD TRACKING SYS</v>
          </cell>
          <cell r="G116" t="str">
            <v>Other</v>
          </cell>
        </row>
        <row r="117">
          <cell r="A117" t="str">
            <v>440040 - FEES/CFS-MEDICAID/IMMU</v>
          </cell>
          <cell r="B117" t="str">
            <v>FEES/CHARGES FOR SERVICES</v>
          </cell>
          <cell r="C117" t="str">
            <v>CHARGES FOR SERVICES</v>
          </cell>
          <cell r="F117" t="str">
            <v>3001 - DEBT SERVICE</v>
          </cell>
          <cell r="G117" t="str">
            <v>Debt</v>
          </cell>
        </row>
        <row r="118">
          <cell r="A118" t="str">
            <v>440041 - FEES/CFS-MEDICARE/IMMU</v>
          </cell>
          <cell r="B118" t="str">
            <v>FEES/CHARGES FOR SERVICES</v>
          </cell>
          <cell r="C118" t="str">
            <v>CHARGES FOR SERVICES</v>
          </cell>
          <cell r="F118" t="str">
            <v>3901 - LTD TAX PERM IMP 2002 DS</v>
          </cell>
          <cell r="G118" t="str">
            <v>Debt</v>
          </cell>
        </row>
        <row r="119">
          <cell r="A119" t="str">
            <v>440042 - FEES/CFS-HIDTA</v>
          </cell>
          <cell r="B119" t="str">
            <v>FEES/CHARGES FOR SERVICES</v>
          </cell>
          <cell r="C119" t="str">
            <v>CHARGES FOR SERVICES</v>
          </cell>
          <cell r="F119" t="str">
            <v>3902 - LTD TAX PI &amp; RFND 04 DS</v>
          </cell>
          <cell r="G119" t="str">
            <v>Debt</v>
          </cell>
        </row>
        <row r="120">
          <cell r="A120" t="str">
            <v>440043 - FEES/CFS-DEA ASSISTANCE</v>
          </cell>
          <cell r="B120" t="str">
            <v>FEES/CHARGES FOR SERVICES</v>
          </cell>
          <cell r="C120" t="str">
            <v>CHARGES FOR SERVICES</v>
          </cell>
          <cell r="F120" t="str">
            <v>3903 - LMTD TAX P/I &amp; RFD 05 DS</v>
          </cell>
          <cell r="G120" t="str">
            <v>Debt</v>
          </cell>
        </row>
        <row r="121">
          <cell r="A121" t="str">
            <v>440044 - FEES/CFS-ABSENT STUDENT ASST</v>
          </cell>
          <cell r="B121" t="str">
            <v>FEES/CHARGES FOR SERVICES</v>
          </cell>
          <cell r="C121" t="str">
            <v>CHARGES FOR SERVICES</v>
          </cell>
          <cell r="F121" t="str">
            <v>3904 - LMTD TAX PERM IMP BD 06DS</v>
          </cell>
          <cell r="G121" t="str">
            <v>Debt</v>
          </cell>
        </row>
        <row r="122">
          <cell r="A122" t="str">
            <v>440045 - FEES/CFS-CHRISTMAS TREE SALES</v>
          </cell>
          <cell r="B122" t="str">
            <v>FEES/CHARGES FOR SERVICES</v>
          </cell>
          <cell r="C122" t="str">
            <v>CHARGES FOR SERVICES</v>
          </cell>
          <cell r="F122" t="str">
            <v>3905 - LTD TAX PERM IMP 2007 DS</v>
          </cell>
          <cell r="G122" t="str">
            <v>Debt</v>
          </cell>
        </row>
        <row r="123">
          <cell r="A123" t="str">
            <v>440046 - FEES/CFS-HEAD START SERVICES</v>
          </cell>
          <cell r="B123" t="str">
            <v>FEES/CHARGES FOR SERVICES</v>
          </cell>
          <cell r="C123" t="str">
            <v>CHARGES FOR SERVICES</v>
          </cell>
          <cell r="F123" t="str">
            <v>3906 - LTD TAX REF &amp; PI DS 2008</v>
          </cell>
          <cell r="G123" t="str">
            <v>Debt</v>
          </cell>
        </row>
        <row r="124">
          <cell r="A124" t="str">
            <v>440047 - FEES/CFS-MEDICAID/EPSD RMBS</v>
          </cell>
          <cell r="B124" t="str">
            <v>FEES/CHARGES FOR SERVICES</v>
          </cell>
          <cell r="C124" t="str">
            <v>CHARGES FOR SERVICES</v>
          </cell>
          <cell r="F124" t="str">
            <v>3907 - LTD TAX REF &amp; PI DS 2009</v>
          </cell>
          <cell r="G124" t="str">
            <v>Debt</v>
          </cell>
        </row>
        <row r="125">
          <cell r="A125" t="str">
            <v>440048 - FEES/CFS-MEDICAID/ADMIN CLAIM</v>
          </cell>
          <cell r="B125" t="str">
            <v>FEES/CHARGES FOR SERVICES</v>
          </cell>
          <cell r="C125" t="str">
            <v>CHARGES FOR SERVICES</v>
          </cell>
          <cell r="F125" t="str">
            <v>3908 - LTD TAX PI BAB DS 2009B</v>
          </cell>
          <cell r="G125" t="str">
            <v>Debt</v>
          </cell>
        </row>
        <row r="126">
          <cell r="A126" t="str">
            <v>440049 - FEES/CFS-COPY FEES</v>
          </cell>
          <cell r="B126" t="str">
            <v>FEES/CHARGES FOR SERVICES</v>
          </cell>
          <cell r="C126" t="str">
            <v>CHARGES FOR SERVICES</v>
          </cell>
          <cell r="F126" t="str">
            <v>3909 - LTD TAX PI BDS 2011 D/S</v>
          </cell>
          <cell r="G126" t="str">
            <v>Debt</v>
          </cell>
        </row>
        <row r="127">
          <cell r="A127" t="str">
            <v>440050 - FEES/CFS-EQUIPMENT MAINTENANCE</v>
          </cell>
          <cell r="B127" t="str">
            <v>FEES/CHARGES FOR SERVICES</v>
          </cell>
          <cell r="C127" t="str">
            <v>CHARGES FOR SERVICES</v>
          </cell>
          <cell r="F127" t="str">
            <v>3910 - LTD TAX REF/PI D/S 2012</v>
          </cell>
          <cell r="G127" t="str">
            <v>Debt</v>
          </cell>
        </row>
        <row r="128">
          <cell r="A128" t="str">
            <v>440051 - FEES/CFS-ADMIN CHARGE</v>
          </cell>
          <cell r="B128" t="str">
            <v>FEES/CHARGES FOR SERVICES</v>
          </cell>
          <cell r="C128" t="str">
            <v>CHARGES FOR SERVICES</v>
          </cell>
          <cell r="F128" t="str">
            <v>3911 - DS-CRIMINAL JUSTICE</v>
          </cell>
          <cell r="G128" t="str">
            <v>Debt</v>
          </cell>
        </row>
        <row r="129">
          <cell r="A129" t="str">
            <v>440052 - FEES/CFS-NTTA INTERLOCAL AGRMT</v>
          </cell>
          <cell r="B129" t="str">
            <v>FEES/CHARGES FOR SERVICES</v>
          </cell>
          <cell r="C129" t="str">
            <v>CHARGES FOR SERVICES</v>
          </cell>
          <cell r="F129" t="str">
            <v>3912 - DS-CAPITAL IMP C/O 92</v>
          </cell>
          <cell r="G129" t="str">
            <v>Debt</v>
          </cell>
        </row>
        <row r="130">
          <cell r="A130" t="str">
            <v>440053 - FEES/CFS-AMBULANCE SERVICES</v>
          </cell>
          <cell r="B130" t="str">
            <v>FEES/CHARGES FOR SERVICES</v>
          </cell>
          <cell r="C130" t="str">
            <v>CHARGES FOR SERVICES</v>
          </cell>
          <cell r="F130" t="str">
            <v>3913 - DS-OPEN SPACE</v>
          </cell>
          <cell r="G130" t="str">
            <v>Debt</v>
          </cell>
        </row>
        <row r="131">
          <cell r="A131" t="str">
            <v>440054 - FEES/CFS-FEDERAL INMATE HOUSNG</v>
          </cell>
          <cell r="B131" t="str">
            <v>FEES/CHARGES FOR SERVICES</v>
          </cell>
          <cell r="C131" t="str">
            <v>CHARGES FOR SERVICES</v>
          </cell>
          <cell r="F131" t="str">
            <v>3914 - DS-COURTHOUSE/JAIL</v>
          </cell>
          <cell r="G131" t="str">
            <v>Debt</v>
          </cell>
        </row>
        <row r="132">
          <cell r="A132" t="str">
            <v>440055 - FEES/CFS-FED INMATE TRANSPORT</v>
          </cell>
          <cell r="B132" t="str">
            <v>FEES/CHARGES FOR SERVICES</v>
          </cell>
          <cell r="C132" t="str">
            <v>CHARGES FOR SERVICES</v>
          </cell>
          <cell r="F132" t="str">
            <v>3915 - DS-CAPITAL IMPROV C/O 93</v>
          </cell>
          <cell r="G132" t="str">
            <v>Debt</v>
          </cell>
        </row>
        <row r="133">
          <cell r="A133" t="str">
            <v>440056 - FEES/CFS-LOCAL OPTION ELEC REV</v>
          </cell>
          <cell r="B133" t="str">
            <v>FEES/CHARGES FOR SERVICES</v>
          </cell>
          <cell r="C133" t="str">
            <v>CHARGES FOR SERVICES</v>
          </cell>
          <cell r="F133" t="str">
            <v>3916 - DS-CAPITAL IMP 93 COBS</v>
          </cell>
          <cell r="G133" t="str">
            <v>Debt</v>
          </cell>
        </row>
        <row r="134">
          <cell r="A134" t="str">
            <v>440057 - FEES/CFS-FED INMATE SALARY RMB</v>
          </cell>
          <cell r="B134" t="str">
            <v>FEES/CHARGES FOR SERVICES</v>
          </cell>
          <cell r="C134" t="str">
            <v>CHARGES FOR SERVICES</v>
          </cell>
          <cell r="F134" t="str">
            <v>3917 - DS-JUSTICE CENTER COBS</v>
          </cell>
          <cell r="G134" t="str">
            <v>Debt</v>
          </cell>
        </row>
        <row r="135">
          <cell r="A135" t="str">
            <v>440058 - FEES/CFS-CHILD SAFETY FEE COMM</v>
          </cell>
          <cell r="B135" t="str">
            <v>FEES/CHARGES FOR SERVICES</v>
          </cell>
          <cell r="C135" t="str">
            <v>CHARGES FOR SERVICES</v>
          </cell>
          <cell r="F135" t="str">
            <v>3918 - DS-CAPITAL IMPROVE COB 94</v>
          </cell>
          <cell r="G135" t="str">
            <v>Debt</v>
          </cell>
        </row>
        <row r="136">
          <cell r="A136" t="str">
            <v>440060 - FEES/CFS-TRAFFIC CONTROL</v>
          </cell>
          <cell r="B136" t="str">
            <v>FEES/CHARGES FOR SERVICES</v>
          </cell>
          <cell r="C136" t="str">
            <v>CHARGES FOR SERVICES</v>
          </cell>
          <cell r="F136" t="str">
            <v>3919 - DS-CAPITAL IMPROVE COB94A</v>
          </cell>
          <cell r="G136" t="str">
            <v>Debt</v>
          </cell>
        </row>
        <row r="137">
          <cell r="A137" t="str">
            <v>440061 - FEES/CFS-NON-CAP LOCAL AGRMT</v>
          </cell>
          <cell r="B137" t="str">
            <v>FEES/CHARGES FOR SERVICES</v>
          </cell>
          <cell r="C137" t="str">
            <v>CHARGES FOR SERVICES</v>
          </cell>
          <cell r="F137" t="str">
            <v>3920 - DS-JUV DETENTION FACL 95</v>
          </cell>
          <cell r="G137" t="str">
            <v>Debt</v>
          </cell>
        </row>
        <row r="138">
          <cell r="A138" t="str">
            <v>440062 - FEES/CFS-OFFENDER WATCH</v>
          </cell>
          <cell r="B138" t="str">
            <v>FEES/CHARGES FOR SERVICES</v>
          </cell>
          <cell r="C138" t="str">
            <v>CHARGES FOR SERVICES</v>
          </cell>
          <cell r="F138" t="str">
            <v>3921 - DS-JAIL DEVELOPMENT</v>
          </cell>
          <cell r="G138" t="str">
            <v>Debt</v>
          </cell>
        </row>
        <row r="139">
          <cell r="A139" t="str">
            <v>440063 - FEES/CFS-MED EXAMINER-OTHER</v>
          </cell>
          <cell r="B139" t="str">
            <v>FEES/CHARGES FOR SERVICES</v>
          </cell>
          <cell r="C139" t="str">
            <v>CHARGES FOR SERVICES</v>
          </cell>
          <cell r="F139" t="str">
            <v>3922 - DS-JAIL IMPROVEMENT</v>
          </cell>
          <cell r="G139" t="str">
            <v>Debt</v>
          </cell>
        </row>
        <row r="140">
          <cell r="A140" t="str">
            <v>440092 - FEES/CFS-CAPITAL LOCAL AGRMNT</v>
          </cell>
          <cell r="B140" t="str">
            <v>FEES/CHARGES FOR SERVICES</v>
          </cell>
          <cell r="C140" t="str">
            <v>CHARGES FOR SERVICES</v>
          </cell>
          <cell r="F140" t="str">
            <v>3923 - LTD TAX PERM IMPROV 99 DS</v>
          </cell>
          <cell r="G140" t="str">
            <v>Debt</v>
          </cell>
        </row>
        <row r="141">
          <cell r="A141" t="str">
            <v>443001 - FEES/CFS-FEE HISTORY</v>
          </cell>
          <cell r="B141" t="str">
            <v>FEES/CHARGES FOR SERVICES</v>
          </cell>
          <cell r="C141" t="str">
            <v>GENERAL GOVERNMENT</v>
          </cell>
          <cell r="F141" t="str">
            <v>3924 - LTD TAX PERM IMPRV 99A DS</v>
          </cell>
          <cell r="G141" t="str">
            <v>Debt</v>
          </cell>
        </row>
        <row r="142">
          <cell r="A142" t="str">
            <v>443002 - FEES/CFS-PASSPORT FEES</v>
          </cell>
          <cell r="B142" t="str">
            <v>FEES/CHARGES FOR SERVICES</v>
          </cell>
          <cell r="C142" t="str">
            <v>GENERAL GOVERNMENT</v>
          </cell>
          <cell r="F142" t="str">
            <v>3925 - LTD TAX PERM IMP 2000 DS</v>
          </cell>
          <cell r="G142" t="str">
            <v>Debt</v>
          </cell>
        </row>
        <row r="143">
          <cell r="A143" t="str">
            <v>443003 - FEES/CFS-CHILD SUPPORT</v>
          </cell>
          <cell r="B143" t="str">
            <v>FEES/CHARGES FOR SERVICES</v>
          </cell>
          <cell r="C143" t="str">
            <v>GENERAL GOVERNMENT</v>
          </cell>
          <cell r="F143" t="str">
            <v>3926 - LIM TAX PERM IMP 2001 DS</v>
          </cell>
          <cell r="G143" t="str">
            <v>Debt</v>
          </cell>
        </row>
        <row r="144">
          <cell r="A144" t="str">
            <v>443004 - FEES/CFS-CREDIT CARD</v>
          </cell>
          <cell r="B144" t="str">
            <v>FEES/CHARGES FOR SERVICES</v>
          </cell>
          <cell r="C144" t="str">
            <v>GENERAL GOVERNMENT</v>
          </cell>
          <cell r="F144" t="str">
            <v>3927 - UNLMTD TAX RD/RFD 2004 DS</v>
          </cell>
          <cell r="G144" t="str">
            <v>Debt</v>
          </cell>
        </row>
        <row r="145">
          <cell r="A145" t="str">
            <v>443005 - FEES/CFS-PRESERVATION</v>
          </cell>
          <cell r="B145" t="str">
            <v>FEES/CHARGES FOR SERVICES</v>
          </cell>
          <cell r="C145" t="str">
            <v>GENERAL GOVERNMENT</v>
          </cell>
          <cell r="F145" t="str">
            <v>3928 - UNLMTD RD &amp; RFD 05 DS</v>
          </cell>
          <cell r="G145" t="str">
            <v>Debt</v>
          </cell>
        </row>
        <row r="146">
          <cell r="A146" t="str">
            <v>443008 - FEES/CFS-ADMIN SPEC LIC PLATE</v>
          </cell>
          <cell r="B146" t="str">
            <v>FEES/CHARGES FOR SERVICES</v>
          </cell>
          <cell r="C146" t="str">
            <v>GENERAL GOVERNMENT</v>
          </cell>
          <cell r="F146" t="str">
            <v>3929 - UNLMTD TAX RD BDS 06 DS</v>
          </cell>
          <cell r="G146" t="str">
            <v>Debt</v>
          </cell>
        </row>
        <row r="147">
          <cell r="A147" t="str">
            <v>443009 - FEES/CFS-LICENSE PLATE POSTAGE</v>
          </cell>
          <cell r="B147" t="str">
            <v>FEES/CHARGES FOR SERVICES</v>
          </cell>
          <cell r="C147" t="str">
            <v>GENERAL GOVERNMENT</v>
          </cell>
          <cell r="F147" t="str">
            <v>3930 - UNLTD TAX RD/RFD 2007 DS</v>
          </cell>
          <cell r="G147" t="str">
            <v>Debt</v>
          </cell>
        </row>
        <row r="148">
          <cell r="A148" t="str">
            <v>443010 - FEES/CFS-CO % OPT CHILD SAFETY</v>
          </cell>
          <cell r="B148" t="str">
            <v>FEES/CHARGES FOR SERVICES</v>
          </cell>
          <cell r="C148" t="str">
            <v>GENERAL GOVERNMENT</v>
          </cell>
          <cell r="F148" t="str">
            <v>3931 - UNLTD TAX RD BDS DS 2008</v>
          </cell>
          <cell r="G148" t="str">
            <v>Debt</v>
          </cell>
        </row>
        <row r="149">
          <cell r="A149" t="str">
            <v>443011 - FEES/CFS-SERVICE FEE</v>
          </cell>
          <cell r="B149" t="str">
            <v>FEES/CHARGES FOR SERVICES</v>
          </cell>
          <cell r="C149" t="str">
            <v>GENERAL GOVERNMENT</v>
          </cell>
          <cell r="F149" t="str">
            <v>3932 - UNLTD TAX RD/RFD DS 2009</v>
          </cell>
          <cell r="G149" t="str">
            <v>Debt</v>
          </cell>
        </row>
        <row r="150">
          <cell r="A150" t="str">
            <v>443012 - FEES/CFS-REGISTRATIONS</v>
          </cell>
          <cell r="B150" t="str">
            <v>FEES/CHARGES FOR SERVICES</v>
          </cell>
          <cell r="C150" t="str">
            <v>GENERAL GOVERNMENT</v>
          </cell>
          <cell r="F150" t="str">
            <v>3933 - UNLTD TAX RD BAB 2009B</v>
          </cell>
          <cell r="G150" t="str">
            <v>Debt</v>
          </cell>
        </row>
        <row r="151">
          <cell r="A151" t="str">
            <v>443013 - FEES/CFS-ARCHIVE &amp; RESTORATION</v>
          </cell>
          <cell r="B151" t="str">
            <v>FEES/CHARGES FOR SERVICES</v>
          </cell>
          <cell r="C151" t="str">
            <v>GENERAL GOVERNMENT</v>
          </cell>
          <cell r="F151" t="str">
            <v>3934 - UNLTD TAX RD BDS 2011 D/S</v>
          </cell>
          <cell r="G151" t="str">
            <v>Debt</v>
          </cell>
        </row>
        <row r="152">
          <cell r="A152" t="str">
            <v>443014 - FEES/CFS-GENERAL</v>
          </cell>
          <cell r="B152" t="str">
            <v>FEES/CHARGES FOR SERVICES</v>
          </cell>
          <cell r="C152" t="str">
            <v>GENERAL GOVERNMENT</v>
          </cell>
          <cell r="F152" t="str">
            <v>3935 - UNL TAX RD/REF D/S 2012</v>
          </cell>
          <cell r="G152" t="str">
            <v>Debt</v>
          </cell>
        </row>
        <row r="153">
          <cell r="A153" t="str">
            <v>443015 - FEES/CFS-CHILD SAFETY</v>
          </cell>
          <cell r="B153" t="str">
            <v>FEES/CHARGES FOR SERVICES</v>
          </cell>
          <cell r="C153" t="str">
            <v>GENERAL GOVERNMENT</v>
          </cell>
          <cell r="F153" t="str">
            <v>3936 - DS-UNLIMITED ROAD</v>
          </cell>
          <cell r="G153" t="str">
            <v>Debt</v>
          </cell>
        </row>
        <row r="154">
          <cell r="A154" t="str">
            <v>443016 - FEES/CFS-RETURNED CHECK</v>
          </cell>
          <cell r="B154" t="str">
            <v>FEES/CHARGES FOR SERVICES</v>
          </cell>
          <cell r="C154" t="str">
            <v>GENERAL GOVERNMENT</v>
          </cell>
          <cell r="F154" t="str">
            <v>3937 - DS-UNLIMITED ROAD BOND 95</v>
          </cell>
          <cell r="G154" t="str">
            <v>Debt</v>
          </cell>
        </row>
        <row r="155">
          <cell r="A155" t="str">
            <v>443017 - FEES/CFS-REC,MGMT &amp; PRES SERV</v>
          </cell>
          <cell r="B155" t="str">
            <v>FEES/CHARGES FOR SERVICES</v>
          </cell>
          <cell r="C155" t="str">
            <v>GENERAL GOVERNMENT</v>
          </cell>
          <cell r="F155" t="str">
            <v>3938 - UNLIMITED ROAD BOND 99 DS</v>
          </cell>
          <cell r="G155" t="str">
            <v>Debt</v>
          </cell>
        </row>
        <row r="156">
          <cell r="A156" t="str">
            <v>443018 - FEES/CFS-SUBSCRIBER FEE</v>
          </cell>
          <cell r="B156" t="str">
            <v>FEES/CHARGES FOR SERVICES</v>
          </cell>
          <cell r="C156" t="str">
            <v>GENERAL GOVERNMENT</v>
          </cell>
          <cell r="F156" t="str">
            <v>3939 - UNLIMITED ROAD BND 99A DS</v>
          </cell>
          <cell r="G156" t="str">
            <v>Debt</v>
          </cell>
        </row>
        <row r="157">
          <cell r="A157" t="str">
            <v>443031 - FEES/CFS-CONTRACT ELECTION</v>
          </cell>
          <cell r="B157" t="str">
            <v>FEES/CHARGES FOR SERVICES</v>
          </cell>
          <cell r="C157" t="str">
            <v>GENERAL GOVERNMENT</v>
          </cell>
          <cell r="F157" t="str">
            <v>3940 - UNLIMITED RD BOND 00 DS</v>
          </cell>
          <cell r="G157" t="str">
            <v>Debt</v>
          </cell>
        </row>
        <row r="158">
          <cell r="A158" t="str">
            <v>443041 - FEES/CFS-FARM MUS-ADMISSION</v>
          </cell>
          <cell r="B158" t="str">
            <v>FEES/CHARGES FOR SERVICES</v>
          </cell>
          <cell r="C158" t="str">
            <v>GENERAL GOVERNMENT</v>
          </cell>
          <cell r="F158" t="str">
            <v>3941 - UNLM ROAD BOND 2001 DS</v>
          </cell>
          <cell r="G158" t="str">
            <v>Debt</v>
          </cell>
        </row>
        <row r="159">
          <cell r="A159" t="str">
            <v>443042 - FEES/CFS-FARM MUS-WRKSHP&amp;CAMPS</v>
          </cell>
          <cell r="B159" t="str">
            <v>FEES/CHARGES FOR SERVICES</v>
          </cell>
          <cell r="C159" t="str">
            <v>GENERAL GOVERNMENT</v>
          </cell>
          <cell r="F159" t="str">
            <v>3942 - UNLIMITED ROAD BOND 97 DS</v>
          </cell>
          <cell r="G159" t="str">
            <v>Debt</v>
          </cell>
        </row>
        <row r="160">
          <cell r="A160" t="str">
            <v>443043 - FEES/CFS-FARM MUS-ARCH&amp;RESRCH</v>
          </cell>
          <cell r="B160" t="str">
            <v>FEES/CHARGES FOR SERVICES</v>
          </cell>
          <cell r="C160" t="str">
            <v>GENERAL GOVERNMENT</v>
          </cell>
          <cell r="F160" t="str">
            <v>3943 - TAX NOTES SERIES 06 DS</v>
          </cell>
          <cell r="G160" t="str">
            <v>Debt</v>
          </cell>
        </row>
        <row r="161">
          <cell r="A161" t="str">
            <v>443044 - FEES/CFS-FARM MUS-RIDES</v>
          </cell>
          <cell r="B161" t="str">
            <v>FEES/CHARGES FOR SERVICES</v>
          </cell>
          <cell r="C161" t="str">
            <v>GENERAL GOVERNMENT</v>
          </cell>
          <cell r="F161" t="str">
            <v>3944 - DS-CAPITAL IMPROVE TN 96</v>
          </cell>
          <cell r="G161" t="str">
            <v>Debt</v>
          </cell>
        </row>
        <row r="162">
          <cell r="A162" t="str">
            <v>443045 - FEES/CFS-FARM MUS-MISC</v>
          </cell>
          <cell r="B162" t="str">
            <v>FEES/CHARGES FOR SERVICES</v>
          </cell>
          <cell r="C162" t="str">
            <v>GENERAL GOVERNMENT</v>
          </cell>
          <cell r="F162" t="str">
            <v>3945 - DS-CAPITAL IMPROVE TN 01</v>
          </cell>
          <cell r="G162" t="str">
            <v>Debt</v>
          </cell>
        </row>
        <row r="163">
          <cell r="A163" t="str">
            <v>444002 - FEES/CFS-ALARM</v>
          </cell>
          <cell r="B163" t="str">
            <v>FEES/CHARGES FOR SERVICES</v>
          </cell>
          <cell r="C163" t="str">
            <v>PUBLIC SAFETY FEES</v>
          </cell>
          <cell r="F163" t="str">
            <v>3946 - DS-TAX NOTES SER 2001A</v>
          </cell>
          <cell r="G163" t="str">
            <v>Debt</v>
          </cell>
        </row>
        <row r="164">
          <cell r="A164" t="str">
            <v>444003 - FEES/CFS-BOARDING</v>
          </cell>
          <cell r="B164" t="str">
            <v>FEES/CHARGES FOR SERVICES</v>
          </cell>
          <cell r="C164" t="str">
            <v>PUBLIC SAFETY FEES</v>
          </cell>
          <cell r="F164" t="str">
            <v>3947 - TAX NOTES SERIES 2002 DS</v>
          </cell>
          <cell r="G164" t="str">
            <v>Debt</v>
          </cell>
        </row>
        <row r="165">
          <cell r="A165" t="str">
            <v>444004 - FEES/CFS-PSIR</v>
          </cell>
          <cell r="B165" t="str">
            <v>FEES/CHARGES FOR SERVICES</v>
          </cell>
          <cell r="C165" t="str">
            <v>PUBLIC SAFETY FEES</v>
          </cell>
          <cell r="F165" t="str">
            <v>3948 - TAX NOTES SERIES 2004 DS</v>
          </cell>
          <cell r="G165" t="str">
            <v>Debt</v>
          </cell>
        </row>
        <row r="166">
          <cell r="A166" t="str">
            <v>444005 - FEES/CFS-PARTICIPATION</v>
          </cell>
          <cell r="B166" t="str">
            <v>FEES/CHARGES FOR SERVICES</v>
          </cell>
          <cell r="C166" t="str">
            <v>CHARGES FOR SERVICES</v>
          </cell>
          <cell r="F166" t="str">
            <v>3949 - UNLTD TX REF BDS 2010 DS</v>
          </cell>
          <cell r="G166" t="str">
            <v>Debt</v>
          </cell>
        </row>
        <row r="167">
          <cell r="A167" t="str">
            <v>444006 - FEES/CFS-PROBATION</v>
          </cell>
          <cell r="B167" t="str">
            <v>FEES/CHARGES FOR SERVICES</v>
          </cell>
          <cell r="C167" t="str">
            <v>PUBLIC SAFETY FEES</v>
          </cell>
          <cell r="F167" t="str">
            <v>3950 - LTD TAX REF BDS 2010 DS</v>
          </cell>
          <cell r="G167" t="str">
            <v>Debt</v>
          </cell>
        </row>
        <row r="168">
          <cell r="A168" t="str">
            <v>444007 - FEES/CFS-PTR FEES</v>
          </cell>
          <cell r="B168" t="str">
            <v>FEES/CHARGES FOR SERVICES</v>
          </cell>
          <cell r="C168" t="str">
            <v>PUBLIC SAFETY FEES</v>
          </cell>
          <cell r="F168" t="str">
            <v>3951 - DS-OPEN SPACE REFUNDING</v>
          </cell>
          <cell r="G168" t="str">
            <v>Debt</v>
          </cell>
        </row>
        <row r="169">
          <cell r="A169" t="str">
            <v>444008 - FEES/CFS-LEVEL V</v>
          </cell>
          <cell r="B169" t="str">
            <v>FEES/CHARGES FOR SERVICES</v>
          </cell>
          <cell r="C169" t="str">
            <v>PUBLIC SAFETY FEES</v>
          </cell>
          <cell r="F169" t="str">
            <v>3952 - DS-UNLIMITED TAX REFUNDING</v>
          </cell>
          <cell r="G169" t="str">
            <v>Debt</v>
          </cell>
        </row>
        <row r="170">
          <cell r="A170" t="str">
            <v>444009 - FEES/CFS-SEX OFFENDER PROGRAM</v>
          </cell>
          <cell r="B170" t="str">
            <v>FEES/CHARGES FOR SERVICES</v>
          </cell>
          <cell r="C170" t="str">
            <v>PUBLIC SAFETY FEES</v>
          </cell>
          <cell r="F170" t="str">
            <v>3953 - DS-UNL TAX REFUNDING 93</v>
          </cell>
          <cell r="G170" t="str">
            <v>Debt</v>
          </cell>
        </row>
        <row r="171">
          <cell r="A171" t="str">
            <v>444010 - FEES/CFS-ANIMAL SAFETY</v>
          </cell>
          <cell r="B171" t="str">
            <v>FEES/CHARGES FOR SERVICES</v>
          </cell>
          <cell r="C171" t="str">
            <v>PUBLIC SAFETY FEES</v>
          </cell>
          <cell r="F171" t="str">
            <v>3954 - CRIMINAL JUSTICE RFDG DS</v>
          </cell>
          <cell r="G171" t="str">
            <v>Debt</v>
          </cell>
        </row>
        <row r="172">
          <cell r="A172" t="str">
            <v>444011 - FEES/CFS-SASSI SCREENINGS</v>
          </cell>
          <cell r="B172" t="str">
            <v>FEES/CHARGES FOR SERVICES</v>
          </cell>
          <cell r="C172" t="str">
            <v>PUBLIC SAFETY FEES</v>
          </cell>
          <cell r="F172" t="str">
            <v>3955 - UNLM TAX RFD SER 01 DS</v>
          </cell>
          <cell r="G172" t="str">
            <v>Debt</v>
          </cell>
        </row>
        <row r="173">
          <cell r="A173" t="str">
            <v>444012 - FEES/CFS-URINE ANALYSIS TESTNG</v>
          </cell>
          <cell r="B173" t="str">
            <v>FEES/CHARGES FOR SERVICES</v>
          </cell>
          <cell r="C173" t="str">
            <v>PUBLIC SAFETY FEES</v>
          </cell>
          <cell r="F173" t="str">
            <v>4001 - LTD TAX PERM IMPROVE 99A</v>
          </cell>
          <cell r="G173" t="str">
            <v>Bond</v>
          </cell>
        </row>
        <row r="174">
          <cell r="A174" t="str">
            <v>444013 - FEES/CFS-SUPERVISION STRATEGY</v>
          </cell>
          <cell r="B174" t="str">
            <v>FEES/CHARGES FOR SERVICES</v>
          </cell>
          <cell r="C174" t="str">
            <v>PUBLIC SAFETY FEES</v>
          </cell>
          <cell r="F174" t="str">
            <v>4002 - LTD TAX PERM IMP 2000</v>
          </cell>
          <cell r="G174" t="str">
            <v>Bond</v>
          </cell>
        </row>
        <row r="175">
          <cell r="A175" t="str">
            <v>444014 - FEES/CFS-ST DEDICATED BOARDNG</v>
          </cell>
          <cell r="B175" t="str">
            <v>FEES/CHARGES FOR SERVICES</v>
          </cell>
          <cell r="C175" t="str">
            <v>PUBLIC SAFETY FEES</v>
          </cell>
          <cell r="F175" t="str">
            <v>4003 - LMTD TAX P/I SERIES 01</v>
          </cell>
          <cell r="G175" t="str">
            <v>Bond</v>
          </cell>
        </row>
        <row r="176">
          <cell r="A176" t="str">
            <v>444015 - FEES/CFS-DIVERSIONARY PLACEMNT</v>
          </cell>
          <cell r="B176" t="str">
            <v>FEES/CHARGES FOR SERVICES</v>
          </cell>
          <cell r="C176" t="str">
            <v>PUBLIC SAFETY FEES</v>
          </cell>
          <cell r="F176" t="str">
            <v>4004 - LTD TAX PERM IMP 2002</v>
          </cell>
          <cell r="G176" t="str">
            <v>Bond</v>
          </cell>
        </row>
        <row r="177">
          <cell r="A177" t="str">
            <v>444016 - FEES/CFS-RECYLCER</v>
          </cell>
          <cell r="B177" t="str">
            <v>FEES/CHARGES FOR SERVICES</v>
          </cell>
          <cell r="C177" t="str">
            <v>PUBLIC SAFETY FEES</v>
          </cell>
          <cell r="F177" t="str">
            <v>4005 - LTD TAX PERM IMP 2004</v>
          </cell>
          <cell r="G177" t="str">
            <v>Bond</v>
          </cell>
        </row>
        <row r="178">
          <cell r="A178" t="str">
            <v>444017 - FEES/CFS-PRISONER TRANSFER</v>
          </cell>
          <cell r="B178" t="str">
            <v>FEES/CHARGES FOR SERVICES</v>
          </cell>
          <cell r="C178" t="str">
            <v>PUBLIC SAFETY FEES</v>
          </cell>
          <cell r="F178" t="str">
            <v>4006 - LMTD TAX PERM IMP 2005</v>
          </cell>
          <cell r="G178" t="str">
            <v>Bond</v>
          </cell>
        </row>
        <row r="179">
          <cell r="A179" t="str">
            <v>444018 - FEES/CFS-SHORT JAIL LIST</v>
          </cell>
          <cell r="B179" t="str">
            <v>FEES/CHARGES FOR SERVICES</v>
          </cell>
          <cell r="C179" t="str">
            <v>PUBLIC SAFETY FEES</v>
          </cell>
          <cell r="F179" t="str">
            <v>4007 - LMTD TAX PERM IMP BDS 06</v>
          </cell>
          <cell r="G179" t="str">
            <v>Bond</v>
          </cell>
        </row>
        <row r="180">
          <cell r="A180" t="str">
            <v>444019 - FEES/CFS-ESTRAY ANIMALS</v>
          </cell>
          <cell r="B180" t="str">
            <v>FEES/CHARGES FOR SERVICES</v>
          </cell>
          <cell r="C180" t="str">
            <v>PUBLIC SAFETY FEES</v>
          </cell>
          <cell r="F180" t="str">
            <v>4008 - LTD TAX PERM IMP 2007</v>
          </cell>
          <cell r="G180" t="str">
            <v>Bond</v>
          </cell>
        </row>
        <row r="181">
          <cell r="A181" t="str">
            <v>444020 - FEES/CFS-OUT OF CNTY DETENTION</v>
          </cell>
          <cell r="B181" t="str">
            <v>FEES/CHARGES FOR SERVICES</v>
          </cell>
          <cell r="C181" t="str">
            <v>PUBLIC SAFETY FEES</v>
          </cell>
          <cell r="F181" t="str">
            <v>4009 - LTD TX PI 2008 07PROJ</v>
          </cell>
          <cell r="G181" t="str">
            <v>Bond</v>
          </cell>
        </row>
        <row r="182">
          <cell r="A182" t="str">
            <v>444028 - FEES/CFS-GPS MONITORING</v>
          </cell>
          <cell r="B182" t="str">
            <v>FEES/CHARGES FOR SERVICES</v>
          </cell>
          <cell r="C182" t="str">
            <v>PUBLIC SAFETY FEES</v>
          </cell>
          <cell r="F182" t="str">
            <v>4010 - LTD TAX PI 2008 03PROJ</v>
          </cell>
          <cell r="G182" t="str">
            <v>Bond</v>
          </cell>
        </row>
        <row r="183">
          <cell r="A183" t="str">
            <v>445101 - FEES/CFS-CIVIL-COURT REPORTERS</v>
          </cell>
          <cell r="B183" t="str">
            <v>FEES/CHARGES FOR SERVICES</v>
          </cell>
          <cell r="C183" t="str">
            <v>COURT FEES</v>
          </cell>
          <cell r="F183" t="str">
            <v>4011 - LTD TAX PI BDS 2009</v>
          </cell>
          <cell r="G183" t="str">
            <v>Bond</v>
          </cell>
        </row>
        <row r="184">
          <cell r="A184" t="str">
            <v>445102 - FEES/CFS-CIVIL-LAW LIBRARY</v>
          </cell>
          <cell r="B184" t="str">
            <v>FEES/CHARGES FOR SERVICES</v>
          </cell>
          <cell r="C184" t="str">
            <v>COURT FEES</v>
          </cell>
          <cell r="F184" t="str">
            <v>4012 - LTD TX PI BAB BDS 2009B</v>
          </cell>
          <cell r="G184" t="str">
            <v>Bond</v>
          </cell>
        </row>
        <row r="185">
          <cell r="A185" t="str">
            <v>445103 - FEES/CFS-CIVIL-GRAFFITI ERDCTN</v>
          </cell>
          <cell r="B185" t="str">
            <v>FEES/CHARGES FOR SERVICES</v>
          </cell>
          <cell r="C185" t="str">
            <v>COURT FEES</v>
          </cell>
          <cell r="F185" t="str">
            <v>4013 - LTD TAX PI BDS 2011</v>
          </cell>
          <cell r="G185" t="str">
            <v>Bond</v>
          </cell>
        </row>
        <row r="186">
          <cell r="A186" t="str">
            <v>445104 - FEES/CFS-CIVIL-COURT TECH</v>
          </cell>
          <cell r="B186" t="str">
            <v>FEES/CHARGES FOR SERVICES</v>
          </cell>
          <cell r="C186" t="str">
            <v>COURT FEES</v>
          </cell>
          <cell r="F186" t="str">
            <v>4014 - LTD TAX PERM IMP 2012</v>
          </cell>
          <cell r="G186" t="str">
            <v>Bond</v>
          </cell>
        </row>
        <row r="187">
          <cell r="A187" t="str">
            <v>445105 - FEES/CFS-CIVIL-CH SECURITY</v>
          </cell>
          <cell r="B187" t="str">
            <v>FEES/CHARGES FOR SERVICES</v>
          </cell>
          <cell r="C187" t="str">
            <v>COURT FEES</v>
          </cell>
          <cell r="F187" t="str">
            <v>4015 - LTD TAX PERM IMP 2013</v>
          </cell>
          <cell r="G187" t="str">
            <v>Bond</v>
          </cell>
        </row>
        <row r="188">
          <cell r="A188" t="str">
            <v>445106 - FEES/CFS-CIVIL-FAMILY PROTECT</v>
          </cell>
          <cell r="B188" t="str">
            <v>FEES/CHARGES FOR SERVICES</v>
          </cell>
          <cell r="C188" t="str">
            <v>COURT FEES</v>
          </cell>
          <cell r="F188" t="str">
            <v>4016 - LTD TAX P/I 2014</v>
          </cell>
          <cell r="G188" t="str">
            <v>Bond</v>
          </cell>
        </row>
        <row r="189">
          <cell r="A189" t="str">
            <v>445107 - FEES/CFS-CIVIL-PROBATE COURT</v>
          </cell>
          <cell r="B189" t="str">
            <v>FEES/CHARGES FOR SERVICES</v>
          </cell>
          <cell r="C189" t="str">
            <v>COURT FEES</v>
          </cell>
          <cell r="F189" t="str">
            <v>4017 - LTD TAX P/I 2015</v>
          </cell>
          <cell r="G189" t="str">
            <v>Bond</v>
          </cell>
        </row>
        <row r="190">
          <cell r="A190" t="str">
            <v>445108 - FEES/CFS-CIVIL-MENTAL COMMIT</v>
          </cell>
          <cell r="B190" t="str">
            <v>FEES/CHARGES FOR SERVICES</v>
          </cell>
          <cell r="C190" t="str">
            <v>COURT FEES</v>
          </cell>
          <cell r="F190" t="str">
            <v>4018 - LTD TAX P/I &amp; RFD 2016</v>
          </cell>
          <cell r="G190" t="str">
            <v>Bond</v>
          </cell>
        </row>
        <row r="191">
          <cell r="A191" t="str">
            <v>445109 - FEES/CFS-CIVIL</v>
          </cell>
          <cell r="B191" t="str">
            <v>FEES/CHARGES FOR SERVICES</v>
          </cell>
          <cell r="C191" t="str">
            <v>COURT FEES</v>
          </cell>
          <cell r="F191" t="str">
            <v>4190 - OPEN SPACE BOND</v>
          </cell>
          <cell r="G191" t="str">
            <v>Bond</v>
          </cell>
        </row>
        <row r="192">
          <cell r="A192" t="str">
            <v>445510 - FEES/CFS-CRIMINAL</v>
          </cell>
          <cell r="B192" t="str">
            <v>FEES/CHARGES FOR SERVICES</v>
          </cell>
          <cell r="C192" t="str">
            <v>COURT FEES</v>
          </cell>
          <cell r="F192" t="str">
            <v>4191 - JUV DETENTION FACILITY 95</v>
          </cell>
          <cell r="G192" t="str">
            <v>Bond</v>
          </cell>
        </row>
        <row r="193">
          <cell r="A193" t="str">
            <v>445511 - FEES/CFS-CRIM-FILING</v>
          </cell>
          <cell r="B193" t="str">
            <v>FEES/CHARGES FOR SERVICES</v>
          </cell>
          <cell r="C193" t="str">
            <v>COURT FEES</v>
          </cell>
          <cell r="F193" t="str">
            <v>4192 - LTD TAX PERM IMPROVE 99</v>
          </cell>
          <cell r="G193" t="str">
            <v>Bond</v>
          </cell>
        </row>
        <row r="194">
          <cell r="A194" t="str">
            <v>445512 - FEES/CFS-CRIM-TEEN COURT</v>
          </cell>
          <cell r="B194" t="str">
            <v>FEES/CHARGES FOR SERVICES</v>
          </cell>
          <cell r="C194" t="str">
            <v>COURT FEES</v>
          </cell>
          <cell r="F194" t="str">
            <v>4193 - CP-CAPITAL IMP COB 94A</v>
          </cell>
          <cell r="G194" t="str">
            <v>Bond</v>
          </cell>
        </row>
        <row r="195">
          <cell r="A195" t="str">
            <v>445513 - FEES/CFS-CRIM-JUV CASE MGR</v>
          </cell>
          <cell r="B195" t="str">
            <v>FEES/CHARGES FOR SERVICES</v>
          </cell>
          <cell r="C195" t="str">
            <v>COURT FEES</v>
          </cell>
          <cell r="F195" t="str">
            <v>4194 - CP-CAP IMP COB 94</v>
          </cell>
          <cell r="G195" t="str">
            <v>Bond</v>
          </cell>
        </row>
        <row r="196">
          <cell r="A196" t="str">
            <v>445514 - FEES/CFS-CRIM-PARTICIPATION</v>
          </cell>
          <cell r="B196" t="str">
            <v>FEES/CHARGES FOR SERVICES</v>
          </cell>
          <cell r="C196" t="str">
            <v>COURT FEES</v>
          </cell>
          <cell r="F196" t="str">
            <v>4195 - CP-JUSTICE CENTER COBS</v>
          </cell>
          <cell r="G196" t="str">
            <v>Bond</v>
          </cell>
        </row>
        <row r="197">
          <cell r="A197" t="str">
            <v>445515 - FEES/CFS-CRIM-E-FILING RECOVRY</v>
          </cell>
          <cell r="B197" t="str">
            <v>FEES/CHARGES FOR SERVICES</v>
          </cell>
          <cell r="C197" t="str">
            <v>COURT FEES</v>
          </cell>
          <cell r="F197" t="str">
            <v>4196 - CP-CAPITAL IMPROV 93 COBS</v>
          </cell>
          <cell r="G197" t="str">
            <v>Bond</v>
          </cell>
        </row>
        <row r="198">
          <cell r="A198" t="str">
            <v>445516 - FEES/CFS-CRIM-TRUANCY PREVENT</v>
          </cell>
          <cell r="B198" t="str">
            <v>FEES/CHARGES FOR SERVICES</v>
          </cell>
          <cell r="C198" t="str">
            <v>COURT FEES</v>
          </cell>
          <cell r="F198" t="str">
            <v>4197 - CP-CAPITAL IMPROVE 93 CO</v>
          </cell>
          <cell r="G198" t="str">
            <v>Bond</v>
          </cell>
        </row>
        <row r="199">
          <cell r="A199" t="str">
            <v>445517 - FEES/CFS-CRIM-TRUANCY CRT COST</v>
          </cell>
          <cell r="B199" t="str">
            <v>FEES/CHARGES FOR SERVICES</v>
          </cell>
          <cell r="C199" t="str">
            <v>COURT FEES</v>
          </cell>
          <cell r="F199" t="str">
            <v>4198 - CP-CAPITAL IMP C/O92</v>
          </cell>
          <cell r="G199" t="str">
            <v>Bond</v>
          </cell>
        </row>
        <row r="200">
          <cell r="A200" t="str">
            <v>445518 - FEES/CFS-CRIM-SPE CRT CNTY FEE</v>
          </cell>
          <cell r="B200" t="str">
            <v>FEES/CHARGES FOR SERVICES</v>
          </cell>
          <cell r="C200" t="e">
            <v>#N/A</v>
          </cell>
          <cell r="F200" t="str">
            <v>4199 - CP-CRIMINAL JUSTICE BOND</v>
          </cell>
          <cell r="G200" t="str">
            <v>Bond</v>
          </cell>
        </row>
        <row r="201">
          <cell r="A201" t="str">
            <v>446001 - FEES/CFS-FEE HISTORY</v>
          </cell>
          <cell r="B201" t="str">
            <v>FEES/CHARGES FOR SERVICES</v>
          </cell>
          <cell r="C201" t="str">
            <v>HEALTH FEES</v>
          </cell>
          <cell r="F201" t="str">
            <v>4201 - UNLMTD TAX RD BONDS 2004</v>
          </cell>
          <cell r="G201" t="str">
            <v>Bond</v>
          </cell>
        </row>
        <row r="202">
          <cell r="A202" t="str">
            <v>447001 - FEES/CFS-WASTER WATER TREATMNT</v>
          </cell>
          <cell r="B202" t="str">
            <v>FEES/CHARGES FOR SERVICES</v>
          </cell>
          <cell r="C202" t="str">
            <v>FACILITIES SERVICES</v>
          </cell>
          <cell r="F202" t="str">
            <v>4202 - UNLMTD TAX ROAD BOND 2005</v>
          </cell>
          <cell r="G202" t="str">
            <v>Bond</v>
          </cell>
        </row>
        <row r="203">
          <cell r="A203" t="str">
            <v>448001 - FEES/CFS-VEHICLE TITLE</v>
          </cell>
          <cell r="B203" t="str">
            <v>FEES/CHARGES FOR SERVICES</v>
          </cell>
          <cell r="C203" t="str">
            <v>TRANSPORTATION</v>
          </cell>
          <cell r="F203" t="str">
            <v>4203 - UNLMTD TAX ROAD BDS 06</v>
          </cell>
          <cell r="G203" t="str">
            <v>Bond</v>
          </cell>
        </row>
        <row r="204">
          <cell r="A204" t="str">
            <v>448002 - FEES/CFS-ROAD MILEAGE</v>
          </cell>
          <cell r="B204" t="str">
            <v>FEES/CHARGES FOR SERVICES</v>
          </cell>
          <cell r="C204" t="str">
            <v>TRANSPORTATION</v>
          </cell>
          <cell r="F204" t="str">
            <v>4204 - UNLTD TAX RD BDS 2007</v>
          </cell>
          <cell r="G204" t="str">
            <v>Bond</v>
          </cell>
        </row>
        <row r="205">
          <cell r="A205" t="str">
            <v>448003 - FEES/CFS-ROAD &amp; BRIDGE</v>
          </cell>
          <cell r="B205" t="str">
            <v>FEES/CHARGES FOR SERVICES</v>
          </cell>
          <cell r="C205" t="str">
            <v>TRANSPORTATION</v>
          </cell>
          <cell r="F205" t="str">
            <v>4205 - UNLTD TX RD BDS 08 03PROJ</v>
          </cell>
          <cell r="G205" t="str">
            <v>Bond</v>
          </cell>
        </row>
        <row r="206">
          <cell r="A206" t="str">
            <v>448004 - FEES/CFS-GROSS/AXLE WEIGHT</v>
          </cell>
          <cell r="B206" t="str">
            <v>FEES/CHARGES FOR SERVICES</v>
          </cell>
          <cell r="C206" t="str">
            <v>TRANSPORTATION</v>
          </cell>
          <cell r="F206" t="str">
            <v>4206 - UNLTD RD BDS 2008 07PROJ</v>
          </cell>
          <cell r="G206" t="str">
            <v>Bond</v>
          </cell>
        </row>
        <row r="207">
          <cell r="A207" t="str">
            <v>448005 - FEES/CFS-SPECIAL LIC PLATE REG</v>
          </cell>
          <cell r="B207" t="str">
            <v>FEES/CHARGES FOR SERVICES</v>
          </cell>
          <cell r="C207" t="str">
            <v>TRANSPORTATION</v>
          </cell>
          <cell r="F207" t="str">
            <v>4207 - UNLTD TAX ROAD BDS 2009</v>
          </cell>
          <cell r="G207" t="str">
            <v>Bond</v>
          </cell>
        </row>
        <row r="208">
          <cell r="A208" t="str">
            <v>448006 - FEES/CFS-SALES TAX/RD MILE</v>
          </cell>
          <cell r="B208" t="str">
            <v>FEES/CHARGES FOR SERVICES</v>
          </cell>
          <cell r="C208" t="str">
            <v>TRANSPORTATION</v>
          </cell>
          <cell r="F208" t="str">
            <v>4208 - UNLTD TX RD BAB 2009B</v>
          </cell>
          <cell r="G208" t="str">
            <v>Bond</v>
          </cell>
        </row>
        <row r="209">
          <cell r="A209" t="str">
            <v>448007 - FEES/CFS-EMISSIONS INSPECTION</v>
          </cell>
          <cell r="B209" t="str">
            <v>FEES/CHARGES FOR SERVICES</v>
          </cell>
          <cell r="C209" t="str">
            <v>TRANSPORTATION</v>
          </cell>
          <cell r="F209" t="str">
            <v>4209 - UNLTD TAX RD BDS 2011</v>
          </cell>
          <cell r="G209" t="str">
            <v>Bond</v>
          </cell>
        </row>
        <row r="210">
          <cell r="A210" t="str">
            <v>448008 - FEES/CFS-SUBDIVISION</v>
          </cell>
          <cell r="B210" t="str">
            <v>FEES/CHARGES FOR SERVICES</v>
          </cell>
          <cell r="C210" t="str">
            <v>TRANSPORTATION</v>
          </cell>
          <cell r="F210" t="str">
            <v>4210 - UNLTD TAX ROAD BD 2012</v>
          </cell>
          <cell r="G210" t="str">
            <v>Bond</v>
          </cell>
        </row>
        <row r="211">
          <cell r="A211" t="str">
            <v>448009 - FEES/CFS-ROAD UTILITY</v>
          </cell>
          <cell r="B211" t="str">
            <v>FEES/CHARGES FOR SERVICES</v>
          </cell>
          <cell r="C211" t="str">
            <v>TRANSPORTATION</v>
          </cell>
          <cell r="F211" t="str">
            <v>4211 - UNLMTD TAX ROAD BOND 2013</v>
          </cell>
          <cell r="G211" t="str">
            <v>Bond</v>
          </cell>
        </row>
        <row r="212">
          <cell r="A212" t="str">
            <v>448010 - FEES/CFS-CONSULTANT SERVICES</v>
          </cell>
          <cell r="B212" t="str">
            <v>FEES/CHARGES FOR SERVICES</v>
          </cell>
          <cell r="C212" t="str">
            <v>TRANSPORTATION</v>
          </cell>
          <cell r="F212" t="str">
            <v>4212 - UNLTD TAX ROAD BD 2014</v>
          </cell>
          <cell r="G212" t="str">
            <v>Bond</v>
          </cell>
        </row>
        <row r="213">
          <cell r="A213" t="str">
            <v>449001 - FEES/CFS-CHARGES FOR SERVICES</v>
          </cell>
          <cell r="B213" t="str">
            <v>FEES/CHARGES FOR SERVICES</v>
          </cell>
          <cell r="C213" t="str">
            <v>GOV WIDE CONV</v>
          </cell>
          <cell r="F213" t="str">
            <v>4213 - UNLTD TAX ROAD BD 2015</v>
          </cell>
          <cell r="G213" t="str">
            <v>Bond</v>
          </cell>
        </row>
        <row r="214">
          <cell r="A214" t="str">
            <v>451010 - FINES-CRIMINAL COURT</v>
          </cell>
          <cell r="B214" t="str">
            <v>FINES</v>
          </cell>
          <cell r="C214" t="str">
            <v>COURT FEES</v>
          </cell>
          <cell r="F214" t="str">
            <v>4214 - UNLTD TAX ROAD &amp; RFD 2016</v>
          </cell>
          <cell r="G214" t="str">
            <v>Bond</v>
          </cell>
        </row>
        <row r="215">
          <cell r="A215" t="str">
            <v>451011 - FINES-CIVIL COURT</v>
          </cell>
          <cell r="B215" t="str">
            <v>FINES</v>
          </cell>
          <cell r="C215" t="str">
            <v>COURT FEES</v>
          </cell>
          <cell r="F215" t="str">
            <v>4281 - UNLIMITED ROAD BOND 99</v>
          </cell>
          <cell r="G215" t="str">
            <v>Bond</v>
          </cell>
        </row>
        <row r="216">
          <cell r="A216" t="str">
            <v>461001 - INV REV-OTHER</v>
          </cell>
          <cell r="B216" t="str">
            <v>INVESTMENT REVENUES</v>
          </cell>
          <cell r="C216" t="str">
            <v>INVESTMENT EARNINGS</v>
          </cell>
          <cell r="F216" t="str">
            <v>4282 - UNLIMITED ROAD BOND 99A</v>
          </cell>
          <cell r="G216" t="str">
            <v>Bond</v>
          </cell>
        </row>
        <row r="217">
          <cell r="A217" t="str">
            <v>461002 - INV REV-CITY PROJECT</v>
          </cell>
          <cell r="B217" t="str">
            <v>INVESTMENT REVENUES</v>
          </cell>
          <cell r="C217" t="str">
            <v>INVESTMENT EARNINGS</v>
          </cell>
          <cell r="F217" t="str">
            <v>4283 - UNLIMITED ROAD BOND 00/01</v>
          </cell>
          <cell r="G217" t="str">
            <v>Bond</v>
          </cell>
        </row>
        <row r="218">
          <cell r="A218" t="str">
            <v>461003 - INV REV-COUNTY PROJECT</v>
          </cell>
          <cell r="B218" t="str">
            <v>INVESTMENT REVENUES</v>
          </cell>
          <cell r="C218" t="str">
            <v>INVESTMENT EARNINGS</v>
          </cell>
          <cell r="F218" t="str">
            <v>4284 - UNLIMITED ROAD BOND 95/97</v>
          </cell>
          <cell r="G218" t="str">
            <v>Bond</v>
          </cell>
        </row>
        <row r="219">
          <cell r="A219" t="str">
            <v>461004 - INV REV-STATE PROJECT</v>
          </cell>
          <cell r="B219" t="str">
            <v>INVESTMENT REVENUES</v>
          </cell>
          <cell r="C219" t="str">
            <v>INVESTMENT EARNINGS</v>
          </cell>
          <cell r="F219" t="str">
            <v>4285 - UNLMTD TAX RFD 93</v>
          </cell>
          <cell r="G219" t="str">
            <v>Bond</v>
          </cell>
        </row>
        <row r="220">
          <cell r="A220" t="str">
            <v>461005 - INV REV-CITY/COUNTY PROJECT</v>
          </cell>
          <cell r="B220" t="str">
            <v>INVESTMENT REVENUES</v>
          </cell>
          <cell r="C220" t="str">
            <v>INVESTMENT EARNINGS</v>
          </cell>
          <cell r="F220" t="str">
            <v>4399 - CP-SPECIAL ROAD BOND</v>
          </cell>
          <cell r="G220" t="str">
            <v>Bond</v>
          </cell>
        </row>
        <row r="221">
          <cell r="A221" t="str">
            <v>461011 - INV REV-TEXPOOL</v>
          </cell>
          <cell r="B221" t="str">
            <v>INVESTMENT REVENUES</v>
          </cell>
          <cell r="C221" t="str">
            <v>INVESTMENT EARNINGS</v>
          </cell>
          <cell r="F221" t="str">
            <v>4401 - TAX NOTES 2006</v>
          </cell>
          <cell r="G221" t="str">
            <v>Bond</v>
          </cell>
        </row>
        <row r="222">
          <cell r="A222" t="str">
            <v>461012 - INV REV-TEXASCLASS</v>
          </cell>
          <cell r="B222" t="str">
            <v>INVESTMENT REVENUES</v>
          </cell>
          <cell r="C222" t="str">
            <v>INVESTMENT EARNINGS</v>
          </cell>
          <cell r="F222" t="str">
            <v>4402 - CAPITAL IMPROVEMENT TN 01</v>
          </cell>
          <cell r="G222" t="str">
            <v>Bond</v>
          </cell>
        </row>
        <row r="223">
          <cell r="A223" t="str">
            <v>461013 - INV REV-LOGIC</v>
          </cell>
          <cell r="B223" t="str">
            <v>INVESTMENT REVENUES</v>
          </cell>
          <cell r="C223" t="str">
            <v>INVESTMENT EARNINGS</v>
          </cell>
          <cell r="F223" t="str">
            <v>4403 - CAPITAL IMP T/N 01A</v>
          </cell>
          <cell r="G223" t="str">
            <v>Bond</v>
          </cell>
        </row>
        <row r="224">
          <cell r="A224" t="str">
            <v>461014 - INV REV-MBIA</v>
          </cell>
          <cell r="B224" t="str">
            <v>INVESTMENT REVENUES</v>
          </cell>
          <cell r="C224" t="str">
            <v>INVESTMENT EARNINGS</v>
          </cell>
          <cell r="F224" t="str">
            <v>4404 - TAX NOTES SERIES 2002</v>
          </cell>
          <cell r="G224" t="str">
            <v>Bond</v>
          </cell>
        </row>
        <row r="225">
          <cell r="A225" t="str">
            <v>461015 - INV REV-ANB INVESTMENT</v>
          </cell>
          <cell r="B225" t="str">
            <v>INVESTMENT REVENUES</v>
          </cell>
          <cell r="C225" t="str">
            <v>INVESTMENT EARNINGS</v>
          </cell>
          <cell r="F225" t="str">
            <v>4405 - TAX NOTES SERIES 2004</v>
          </cell>
          <cell r="G225" t="str">
            <v>Bond</v>
          </cell>
        </row>
        <row r="226">
          <cell r="A226" t="str">
            <v>461016 - INV REV-TEXSTAR INV POOL</v>
          </cell>
          <cell r="B226" t="str">
            <v>INVESTMENT REVENUES</v>
          </cell>
          <cell r="C226" t="str">
            <v>INVESTMENT EARNINGS</v>
          </cell>
          <cell r="F226" t="str">
            <v>4599 - CAPITAL IMPROVEMENT TN 96</v>
          </cell>
          <cell r="G226" t="str">
            <v>Bond</v>
          </cell>
        </row>
        <row r="227">
          <cell r="A227" t="str">
            <v>461017 - INV REV-WELLS FARGO</v>
          </cell>
          <cell r="B227" t="str">
            <v>INVESTMENT REVENUES</v>
          </cell>
          <cell r="C227" t="str">
            <v>INVESTMENT EARNINGS</v>
          </cell>
          <cell r="F227" t="str">
            <v>5501 - COUNTY INSURANCE</v>
          </cell>
          <cell r="G227" t="str">
            <v>Other</v>
          </cell>
        </row>
        <row r="228">
          <cell r="A228" t="str">
            <v>461018 - INV REV-CCU INVESTMENT POOL</v>
          </cell>
          <cell r="B228" t="str">
            <v>INVESTMENT REVENUES</v>
          </cell>
          <cell r="C228" t="str">
            <v>INVESTMENT EARNINGS</v>
          </cell>
          <cell r="F228" t="str">
            <v>5502 - WORKERS' COMPENSATION INS</v>
          </cell>
          <cell r="G228" t="str">
            <v>Other</v>
          </cell>
        </row>
        <row r="229">
          <cell r="A229" t="str">
            <v>461019 - INT REV-DEPOSITORY POOLED CASH</v>
          </cell>
          <cell r="B229" t="str">
            <v>INVESTMENT REVENUES</v>
          </cell>
          <cell r="C229" t="str">
            <v>INVESTMENT EARNINGS</v>
          </cell>
          <cell r="F229" t="str">
            <v>5504 - UNEMPLOYMENT INSURANCE</v>
          </cell>
          <cell r="G229" t="str">
            <v>Other</v>
          </cell>
        </row>
        <row r="230">
          <cell r="A230" t="str">
            <v>461021 - INV REV-TEXPOOL POOLD INTEREST</v>
          </cell>
          <cell r="B230" t="str">
            <v>INVESTMENT REVENUES</v>
          </cell>
          <cell r="C230" t="str">
            <v>INVESTMENT EARNINGS</v>
          </cell>
          <cell r="F230" t="str">
            <v>5505 - EMPLOYEE INSURANCE</v>
          </cell>
          <cell r="G230" t="str">
            <v>Other</v>
          </cell>
        </row>
        <row r="231">
          <cell r="A231" t="str">
            <v>461022 - INV REV-ICS</v>
          </cell>
          <cell r="B231" t="str">
            <v>INVESTMENT REVENUES</v>
          </cell>
          <cell r="C231" t="str">
            <v>INVESTMENT EARNINGS</v>
          </cell>
          <cell r="F231" t="str">
            <v>5509 - CENTRAL MAINTENANCE</v>
          </cell>
          <cell r="G231" t="str">
            <v>Other</v>
          </cell>
        </row>
        <row r="232">
          <cell r="A232" t="str">
            <v>461030 - INV REV-DA SERVCE FEE PRIOR YR</v>
          </cell>
          <cell r="B232" t="str">
            <v>INVESTMENT REVENUES</v>
          </cell>
          <cell r="C232" t="str">
            <v>INVESTMENT EARNINGS</v>
          </cell>
          <cell r="F232" t="str">
            <v>5601 - FLEXIBLE BENEFITS</v>
          </cell>
          <cell r="G232" t="str">
            <v>Other</v>
          </cell>
        </row>
        <row r="233">
          <cell r="A233" t="str">
            <v>461042 - INV REV-STATE PROJECT</v>
          </cell>
          <cell r="B233" t="str">
            <v>INVESTMENT REVENUES</v>
          </cell>
          <cell r="C233" t="str">
            <v>INVESTMENT EARNINGS</v>
          </cell>
          <cell r="F233" t="str">
            <v>5602 - EMPLOYEE PAID BENEFITS</v>
          </cell>
          <cell r="G233" t="str">
            <v>Other</v>
          </cell>
        </row>
        <row r="234">
          <cell r="A234" t="str">
            <v>461052 - INV REV-CERTIFICATE OF DEPOSIT</v>
          </cell>
          <cell r="B234" t="str">
            <v>INVESTMENT REVENUES</v>
          </cell>
          <cell r="C234" t="str">
            <v>INVESTMENT EARNINGS</v>
          </cell>
          <cell r="F234" t="str">
            <v>5990 - ANIMAL SAFETY</v>
          </cell>
          <cell r="G234" t="str">
            <v>Other</v>
          </cell>
        </row>
        <row r="235">
          <cell r="A235" t="str">
            <v>461053 - INV REV-CDARS</v>
          </cell>
          <cell r="B235" t="str">
            <v>INVESTMENT REVENUES</v>
          </cell>
          <cell r="C235" t="str">
            <v>INVESTMENT EARNINGS</v>
          </cell>
          <cell r="F235" t="str">
            <v>5991 - ANIMAL SHELTER PROGRAM</v>
          </cell>
          <cell r="G235" t="str">
            <v>Other</v>
          </cell>
        </row>
        <row r="236">
          <cell r="A236" t="str">
            <v>461060 - INV REV-LONG TERM</v>
          </cell>
          <cell r="B236" t="str">
            <v>INVESTMENT REVENUES</v>
          </cell>
          <cell r="C236" t="str">
            <v>INVESTMENT EARNINGS</v>
          </cell>
          <cell r="F236" t="str">
            <v>5999 - CC TOLL ROAD AUTHORITY</v>
          </cell>
          <cell r="G236" t="str">
            <v>Other</v>
          </cell>
        </row>
        <row r="237">
          <cell r="A237" t="str">
            <v>461061 - INV REV-MUNICIPAL BOND</v>
          </cell>
          <cell r="B237" t="str">
            <v>INVESTMENT REVENUES</v>
          </cell>
          <cell r="C237" t="str">
            <v>INVESTMENT EARNINGS</v>
          </cell>
          <cell r="F237" t="str">
            <v>6050 - JUDICIAL DISTRICT</v>
          </cell>
          <cell r="G237" t="str">
            <v>Other</v>
          </cell>
        </row>
        <row r="238">
          <cell r="A238" t="str">
            <v>461067 - INV REV-INVESTMENT MARKET ADJ</v>
          </cell>
          <cell r="B238" t="str">
            <v>INVESTMENT REVENUES</v>
          </cell>
          <cell r="C238" t="str">
            <v>INVESTMENT EARNINGS</v>
          </cell>
          <cell r="F238" t="str">
            <v>6051 - DP-SC MENTALLY IMPAIRED</v>
          </cell>
          <cell r="G238" t="str">
            <v>Other</v>
          </cell>
        </row>
        <row r="239">
          <cell r="A239" t="str">
            <v>461070 - INV REV-GAIN ON SALE</v>
          </cell>
          <cell r="B239" t="str">
            <v>INVESTMENT REVENUES</v>
          </cell>
          <cell r="C239" t="str">
            <v>INVESTMENT EARNINGS</v>
          </cell>
          <cell r="F239" t="str">
            <v>6052 - CCP-NEW CASELOAD REDUCTN</v>
          </cell>
          <cell r="G239" t="str">
            <v>Other</v>
          </cell>
        </row>
        <row r="240">
          <cell r="A240" t="str">
            <v>461080 - INV REV-LOCAL GOV INT PROCEEDS</v>
          </cell>
          <cell r="B240" t="str">
            <v>INVESTMENT REVENUES</v>
          </cell>
          <cell r="C240" t="str">
            <v>INVESTMENT EARNINGS</v>
          </cell>
          <cell r="F240" t="str">
            <v>6053 - CCP-COMM CORRECTIONS FAC</v>
          </cell>
          <cell r="G240" t="str">
            <v>Other</v>
          </cell>
        </row>
        <row r="241">
          <cell r="A241" t="str">
            <v>461090 - INV REV-ACCRUED INTEREST</v>
          </cell>
          <cell r="B241" t="str">
            <v>INVESTMENT REVENUES</v>
          </cell>
          <cell r="C241" t="str">
            <v>INVESTMENT EARNINGS</v>
          </cell>
          <cell r="F241" t="str">
            <v>6054 - CCP-ENCHANCED SUP STRATEG</v>
          </cell>
          <cell r="G241" t="str">
            <v>Other</v>
          </cell>
        </row>
        <row r="242">
          <cell r="A242" t="str">
            <v>461091 - INV REV-OPERATING</v>
          </cell>
          <cell r="B242" t="str">
            <v>INVESTMENT REVENUES</v>
          </cell>
          <cell r="C242" t="str">
            <v>INVESTMENT EARNINGS</v>
          </cell>
          <cell r="F242" t="str">
            <v>6055 - DP-SC SEX OFFENDER</v>
          </cell>
          <cell r="G242" t="str">
            <v>Other</v>
          </cell>
        </row>
        <row r="243">
          <cell r="A243" t="str">
            <v>461092 - INV REV-NON-OPERATING</v>
          </cell>
          <cell r="B243" t="str">
            <v>INVESTMENT REVENUES</v>
          </cell>
          <cell r="C243" t="str">
            <v>INVESTMENT EARNINGS</v>
          </cell>
          <cell r="F243" t="str">
            <v>6056 - DP-SC YOUTHFUL OFFENDER</v>
          </cell>
          <cell r="G243" t="str">
            <v>Other</v>
          </cell>
        </row>
        <row r="244">
          <cell r="A244" t="str">
            <v>461093 - INV REV-CAPITAL</v>
          </cell>
          <cell r="B244" t="str">
            <v>INVESTMENT REVENUES</v>
          </cell>
          <cell r="C244" t="str">
            <v>INVESTMENT EARNINGS</v>
          </cell>
          <cell r="F244" t="str">
            <v>6057 - TAIP</v>
          </cell>
          <cell r="G244" t="str">
            <v>Other</v>
          </cell>
        </row>
        <row r="245">
          <cell r="A245" t="str">
            <v>461099 - INV REV-ESTIMATE</v>
          </cell>
          <cell r="B245" t="str">
            <v>INVESTMENT REVENUES</v>
          </cell>
          <cell r="C245" t="str">
            <v>INVESTMENT EARNINGS</v>
          </cell>
          <cell r="F245" t="str">
            <v>6058 - DP-SC SUBSTANCE ABUSE</v>
          </cell>
          <cell r="G245" t="str">
            <v>Other</v>
          </cell>
        </row>
        <row r="246">
          <cell r="A246" t="str">
            <v>462002 - RENT-FACILITIES RENTAL</v>
          </cell>
          <cell r="B246" t="str">
            <v>INVESTMENT REVENUES</v>
          </cell>
          <cell r="C246" t="str">
            <v>RENTAL REVENUE</v>
          </cell>
          <cell r="F246" t="str">
            <v>6059 - PERSONAL BOND/SURETY PRGM</v>
          </cell>
          <cell r="G246" t="str">
            <v>Other</v>
          </cell>
        </row>
        <row r="247">
          <cell r="A247" t="str">
            <v>462003 - RENT-RADIO TOWER RENTAL</v>
          </cell>
          <cell r="B247" t="str">
            <v>INVESTMENT REVENUES</v>
          </cell>
          <cell r="C247" t="str">
            <v>RENTAL REVENUE</v>
          </cell>
          <cell r="F247" t="str">
            <v>6800 - CPS BOARD</v>
          </cell>
          <cell r="G247" t="str">
            <v>Other</v>
          </cell>
        </row>
        <row r="248">
          <cell r="A248" t="str">
            <v>462004 - RENT-RALPH HALL UDCF OFFICE</v>
          </cell>
          <cell r="B248" t="str">
            <v>INVESTMENT REVENUES</v>
          </cell>
          <cell r="C248" t="str">
            <v>RENTAL REVENUE</v>
          </cell>
        </row>
        <row r="249">
          <cell r="A249" t="str">
            <v>462005 - RENT-CITY READINESS INIT GT</v>
          </cell>
          <cell r="B249" t="str">
            <v>INVESTMENT REVENUES</v>
          </cell>
          <cell r="C249" t="str">
            <v>RENTAL REVENUE</v>
          </cell>
        </row>
        <row r="250">
          <cell r="A250" t="str">
            <v>462020 - RENT-GB-825/COUNTY OCCUPIED</v>
          </cell>
          <cell r="B250" t="str">
            <v>INVESTMENT REVENUES</v>
          </cell>
          <cell r="C250" t="str">
            <v>RENTAL REVENUE</v>
          </cell>
        </row>
        <row r="251">
          <cell r="A251" t="str">
            <v>462021 - RENT-GB-825/COUNTY WIC</v>
          </cell>
          <cell r="B251" t="str">
            <v>INVESTMENT REVENUES</v>
          </cell>
          <cell r="C251" t="str">
            <v>RENTAL REVENUE</v>
          </cell>
        </row>
        <row r="252">
          <cell r="A252" t="str">
            <v>462022 - RENT-GB BIOTERRORISM LEASE AGM</v>
          </cell>
          <cell r="B252" t="str">
            <v>INVESTMENT REVENUES</v>
          </cell>
          <cell r="C252" t="str">
            <v>RENTAL REVENUE</v>
          </cell>
        </row>
        <row r="253">
          <cell r="A253" t="str">
            <v>462023 - RENT-PP-900/COUNTY OCCUP/S-140</v>
          </cell>
          <cell r="B253" t="str">
            <v>INVESTMENT REVENUES</v>
          </cell>
          <cell r="C253" t="str">
            <v>RENTAL REVENUE</v>
          </cell>
        </row>
        <row r="254">
          <cell r="A254" t="str">
            <v>462024 - RENT-PP-900/CADET CENTER</v>
          </cell>
          <cell r="B254" t="str">
            <v>INVESTMENT REVENUES</v>
          </cell>
          <cell r="C254" t="str">
            <v>RENTAL REVENUE</v>
          </cell>
        </row>
        <row r="255">
          <cell r="A255" t="str">
            <v>462025 - RENT-PP-JACK STEPHENS</v>
          </cell>
          <cell r="B255" t="str">
            <v>INVESTMENT REVENUES</v>
          </cell>
          <cell r="C255" t="str">
            <v>RENTAL REVENUE</v>
          </cell>
        </row>
        <row r="256">
          <cell r="A256" t="str">
            <v>462026 - RENT-PP-NATIONAL PAVE CORP</v>
          </cell>
          <cell r="B256" t="str">
            <v>INVESTMENT REVENUES</v>
          </cell>
          <cell r="C256" t="str">
            <v>RENTAL REVENUE</v>
          </cell>
        </row>
        <row r="257">
          <cell r="A257" t="str">
            <v>462027 - RENT-PP-900/PRESBY HC SY/S-100</v>
          </cell>
          <cell r="B257" t="str">
            <v>INVESTMENT REVENUES</v>
          </cell>
          <cell r="C257" t="str">
            <v>RENTAL REVENUE</v>
          </cell>
        </row>
        <row r="258">
          <cell r="A258" t="str">
            <v>462028 - RENT-PP-900/COUNTY CSCD S-200</v>
          </cell>
          <cell r="B258" t="str">
            <v>INVESTMENT REVENUES</v>
          </cell>
          <cell r="C258" t="str">
            <v>RENTAL REVENUE</v>
          </cell>
        </row>
        <row r="259">
          <cell r="A259" t="str">
            <v>462029 - RENT-PP-900/COUNTY WIC</v>
          </cell>
          <cell r="B259" t="str">
            <v>INVESTMENT REVENUES</v>
          </cell>
          <cell r="C259" t="str">
            <v>RENTAL REVENUE</v>
          </cell>
        </row>
        <row r="260">
          <cell r="A260" t="str">
            <v>462030 - RENT-PP-900/1ST STEP COUNSELNG</v>
          </cell>
          <cell r="B260" t="str">
            <v>INVESTMENT REVENUES</v>
          </cell>
          <cell r="C260" t="str">
            <v>RENTAL REVENUE</v>
          </cell>
        </row>
        <row r="261">
          <cell r="A261" t="str">
            <v>462031 - RENT-PP-900/UNLIMITED INC</v>
          </cell>
          <cell r="B261" t="str">
            <v>INVESTMENT REVENUES</v>
          </cell>
          <cell r="C261" t="str">
            <v>RENTAL REVENUE</v>
          </cell>
        </row>
        <row r="262">
          <cell r="A262" t="str">
            <v>462032 - RENT-PP-900/TESTER FAMILY MED</v>
          </cell>
          <cell r="B262" t="str">
            <v>INVESTMENT REVENUES</v>
          </cell>
          <cell r="C262" t="str">
            <v>RENTAL REVENUE</v>
          </cell>
        </row>
        <row r="263">
          <cell r="A263" t="str">
            <v>462033 - RENT-PP-920/COUNTY OCCUP-BLDG</v>
          </cell>
          <cell r="B263" t="str">
            <v>INVESTMENT REVENUES</v>
          </cell>
          <cell r="C263" t="str">
            <v>RENTAL REVENUE</v>
          </cell>
        </row>
        <row r="264">
          <cell r="A264" t="str">
            <v>462034 - RENT-GB-825/COLLIN COUNTY MHMR</v>
          </cell>
          <cell r="B264" t="str">
            <v>INVESTMENT REVENUES</v>
          </cell>
          <cell r="C264" t="str">
            <v>RENTAL REVENUE</v>
          </cell>
        </row>
        <row r="265">
          <cell r="A265" t="str">
            <v>462035 - RENT-PP-900/PRO SPORTS/S-130</v>
          </cell>
          <cell r="B265" t="str">
            <v>INVESTMENT REVENUES</v>
          </cell>
          <cell r="C265" t="str">
            <v>RENTAL REVENUE</v>
          </cell>
        </row>
        <row r="266">
          <cell r="A266" t="str">
            <v>462036 - RENT-PP-900/DISCO HI-TEC/S-150</v>
          </cell>
          <cell r="B266" t="str">
            <v>INVESTMENT REVENUES</v>
          </cell>
          <cell r="C266" t="str">
            <v>RENTAL REVENUE</v>
          </cell>
        </row>
        <row r="267">
          <cell r="A267" t="str">
            <v>462037 - RENT-PP-MERIT MORTGAGES</v>
          </cell>
          <cell r="B267" t="str">
            <v>INVESTMENT REVENUES</v>
          </cell>
          <cell r="C267" t="str">
            <v>RENTAL REVENUE</v>
          </cell>
        </row>
        <row r="268">
          <cell r="A268" t="str">
            <v>462038 - RENT-PP HOMESPECTORS INC</v>
          </cell>
          <cell r="B268" t="str">
            <v>INVESTMENT REVENUES</v>
          </cell>
          <cell r="C268" t="str">
            <v>RENTAL REVENUE</v>
          </cell>
        </row>
        <row r="269">
          <cell r="A269" t="str">
            <v>462039 - RENT-PP-900/S-155</v>
          </cell>
          <cell r="B269" t="str">
            <v>INVESTMENT REVENUES</v>
          </cell>
          <cell r="C269" t="str">
            <v>RENTAL REVENUE</v>
          </cell>
        </row>
        <row r="270">
          <cell r="A270" t="str">
            <v>462040 - RENT-PP-900/COUNTY-JUVENILE</v>
          </cell>
          <cell r="B270" t="str">
            <v>INVESTMENT REVENUES</v>
          </cell>
          <cell r="C270" t="str">
            <v>RENTAL REVENUE</v>
          </cell>
        </row>
        <row r="271">
          <cell r="A271" t="str">
            <v>462041 - RENT-PP-920/MARY SAFI &amp; ASSOCI</v>
          </cell>
          <cell r="B271" t="str">
            <v>INVESTMENT REVENUES</v>
          </cell>
          <cell r="C271" t="str">
            <v>RENTAL REVENUE</v>
          </cell>
        </row>
        <row r="272">
          <cell r="A272" t="str">
            <v>462042 - RENT-TRINITY FAMILY HEALTH CTR</v>
          </cell>
          <cell r="B272" t="str">
            <v>INVESTMENT REVENUES</v>
          </cell>
          <cell r="C272" t="str">
            <v>RENTAL REVENUE</v>
          </cell>
        </row>
        <row r="273">
          <cell r="A273" t="str">
            <v>462043 - RENT-RIGHT-OF-WAY LEASE AGRMT</v>
          </cell>
          <cell r="B273" t="str">
            <v>INVESTMENT REVENUES</v>
          </cell>
          <cell r="C273" t="str">
            <v>RENTAL REVENUE</v>
          </cell>
        </row>
        <row r="274">
          <cell r="A274" t="str">
            <v>462044 - RENT-ROOM RENTAL</v>
          </cell>
          <cell r="B274" t="str">
            <v>INVESTMENT REVENUES</v>
          </cell>
          <cell r="C274" t="str">
            <v>RENTAL REVENUE</v>
          </cell>
        </row>
        <row r="275">
          <cell r="A275" t="str">
            <v>462045 - RENT-PP-920/STE 100</v>
          </cell>
          <cell r="B275" t="str">
            <v>INVESTMENT REVENUES</v>
          </cell>
          <cell r="C275" t="str">
            <v>RENTAL REVENUE</v>
          </cell>
        </row>
        <row r="276">
          <cell r="A276" t="str">
            <v>462046 - RENT-JOHN WESLEY DR STE 200</v>
          </cell>
          <cell r="B276" t="str">
            <v>INVESTMENT REVENUES</v>
          </cell>
          <cell r="C276" t="str">
            <v>RENTAL REVENUE</v>
          </cell>
        </row>
        <row r="277">
          <cell r="A277" t="str">
            <v>462047 - RENT-PP-900/S-155 TCOG</v>
          </cell>
          <cell r="B277" t="str">
            <v>INVESTMENT REVENUES</v>
          </cell>
          <cell r="C277" t="str">
            <v>RENTAL REVENUE</v>
          </cell>
        </row>
        <row r="278">
          <cell r="A278" t="str">
            <v>462048 - RENT-PP-900/S-170 VETCTR</v>
          </cell>
          <cell r="B278" t="str">
            <v>INVESTMENT REVENUES</v>
          </cell>
          <cell r="C278" t="str">
            <v>RENTAL REVENUE</v>
          </cell>
        </row>
        <row r="279">
          <cell r="A279" t="str">
            <v>462049 - RENT-PP-900/S-153</v>
          </cell>
          <cell r="B279" t="str">
            <v>INVESTMENT REVENUES</v>
          </cell>
          <cell r="C279" t="str">
            <v>RENTAL REVENUE</v>
          </cell>
        </row>
        <row r="280">
          <cell r="A280" t="str">
            <v>462050 - RENT-PP-900/S-280</v>
          </cell>
          <cell r="B280" t="str">
            <v>INVESTMENT REVENUES</v>
          </cell>
          <cell r="C280" t="str">
            <v>RENTAL REVENUE</v>
          </cell>
        </row>
        <row r="281">
          <cell r="A281" t="str">
            <v>462051 - RENT-PP-920/STE 110</v>
          </cell>
          <cell r="B281" t="str">
            <v>INVESTMENT REVENUES</v>
          </cell>
          <cell r="C281" t="str">
            <v>RENTAL REVENUE</v>
          </cell>
        </row>
        <row r="282">
          <cell r="A282" t="str">
            <v>470001 - INS-LIABILITY</v>
          </cell>
          <cell r="B282" t="str">
            <v>INSURANCE/EMPLOYEE BENEFT</v>
          </cell>
          <cell r="C282" t="str">
            <v>INSURANCE PREMIUMS</v>
          </cell>
        </row>
        <row r="283">
          <cell r="A283" t="str">
            <v>470002 - INS-WORKERS' COMP</v>
          </cell>
          <cell r="B283" t="str">
            <v>INSURANCE/EMPLOYEE BENEFT</v>
          </cell>
          <cell r="C283" t="str">
            <v>INSURANCE PREMIUMS</v>
          </cell>
        </row>
        <row r="284">
          <cell r="A284" t="str">
            <v>470003 - EMP BEN-UNEMPLOYMENT INS</v>
          </cell>
          <cell r="B284" t="str">
            <v>INSURANCE/EMPLOYEE BENEFT</v>
          </cell>
          <cell r="C284" t="str">
            <v>INSURANCE PREMIUMS</v>
          </cell>
        </row>
        <row r="285">
          <cell r="A285" t="str">
            <v>470004 - INS-EMPLOYER MEDICAL</v>
          </cell>
          <cell r="B285" t="str">
            <v>INSURANCE/EMPLOYEE BENEFT</v>
          </cell>
          <cell r="C285" t="str">
            <v>INSURANCE PREMIUMS</v>
          </cell>
        </row>
        <row r="286">
          <cell r="A286" t="str">
            <v>470005 - INS-EMPLOYER SHORT TERM DIS</v>
          </cell>
          <cell r="B286" t="str">
            <v>INSURANCE/EMPLOYEE BENEFT</v>
          </cell>
          <cell r="C286" t="str">
            <v>INSURANCE PREMIUMS</v>
          </cell>
        </row>
        <row r="287">
          <cell r="A287" t="str">
            <v>470006 - INS-EMPLOYER LTD</v>
          </cell>
          <cell r="B287" t="str">
            <v>INSURANCE/EMPLOYEE BENEFT</v>
          </cell>
          <cell r="C287" t="str">
            <v>INSURANCE PREMIUMS</v>
          </cell>
        </row>
        <row r="288">
          <cell r="A288" t="str">
            <v>470007 - INS-EMPLOYER LT CARE</v>
          </cell>
          <cell r="B288" t="str">
            <v>INSURANCE/EMPLOYEE BENEFT</v>
          </cell>
          <cell r="C288" t="str">
            <v>INSURANCE PREMIUMS</v>
          </cell>
        </row>
        <row r="289">
          <cell r="A289" t="str">
            <v>470008 - INS-EMPLOYEE MEDICAL</v>
          </cell>
          <cell r="B289" t="str">
            <v>INSURANCE/EMPLOYEE BENEFT</v>
          </cell>
          <cell r="C289" t="str">
            <v>INSURANCE PREMIUMS</v>
          </cell>
        </row>
        <row r="290">
          <cell r="A290" t="str">
            <v>470009 - EMP BEN-EMPLOYEE PAID BENEF</v>
          </cell>
          <cell r="B290" t="str">
            <v>INSURANCE/EMPLOYEE BENEFT</v>
          </cell>
          <cell r="C290" t="str">
            <v>INSURANCE PREMIUMS</v>
          </cell>
        </row>
        <row r="291">
          <cell r="A291" t="str">
            <v>470010 - INS-EMPLOYEE OPTIONAL LIFE</v>
          </cell>
          <cell r="B291" t="str">
            <v>INSURANCE/EMPLOYEE BENEFT</v>
          </cell>
          <cell r="C291" t="str">
            <v>INSURANCE PREMIUMS</v>
          </cell>
        </row>
        <row r="292">
          <cell r="A292" t="str">
            <v>470011 - INS-RETIREE'S INS PREMIUMS</v>
          </cell>
          <cell r="B292" t="str">
            <v>INSURANCE/EMPLOYEE BENEFT</v>
          </cell>
          <cell r="C292" t="str">
            <v>INSURANCE PREMIUMS</v>
          </cell>
        </row>
        <row r="293">
          <cell r="A293" t="str">
            <v>471004 - INS-INSURANCE RECOVERY</v>
          </cell>
          <cell r="B293" t="str">
            <v>INSURANCE/EMPLOYEE BENEFT</v>
          </cell>
          <cell r="C293" t="str">
            <v>INSURANCE CLAIMS</v>
          </cell>
        </row>
        <row r="294">
          <cell r="A294" t="str">
            <v>473001 - EMP BEN-MEDICAL FLEX</v>
          </cell>
          <cell r="B294" t="str">
            <v>INSURANCE/EMPLOYEE BENEFT</v>
          </cell>
          <cell r="C294" t="str">
            <v>EMPLOYEE BENEFITS</v>
          </cell>
        </row>
        <row r="295">
          <cell r="A295" t="str">
            <v>473002 - EMP BEN-REIMB EXPENSE FLEX</v>
          </cell>
          <cell r="B295" t="str">
            <v>INSURANCE/EMPLOYEE BENEFT</v>
          </cell>
          <cell r="C295" t="str">
            <v>EMPLOYEE BENEFITS</v>
          </cell>
        </row>
        <row r="296">
          <cell r="A296" t="str">
            <v>481001 - OTHER-CAR RENTAL</v>
          </cell>
          <cell r="B296" t="str">
            <v>OTHER REVENUE</v>
          </cell>
          <cell r="C296" t="str">
            <v>MISC REV</v>
          </cell>
        </row>
        <row r="297">
          <cell r="A297" t="str">
            <v>481002 - OTHER-OPEN RECORDS REQUEST</v>
          </cell>
          <cell r="B297" t="str">
            <v>OTHER REVENUE</v>
          </cell>
          <cell r="C297" t="str">
            <v>MISC REV</v>
          </cell>
        </row>
        <row r="298">
          <cell r="A298" t="str">
            <v>481003 - OTHER-RESTITUTION</v>
          </cell>
          <cell r="B298" t="str">
            <v>OTHER REVENUE</v>
          </cell>
          <cell r="C298" t="str">
            <v>MISC REV</v>
          </cell>
        </row>
        <row r="299">
          <cell r="A299" t="str">
            <v>481004 - OTHER-PUNITIVE DAMAGES</v>
          </cell>
          <cell r="B299" t="str">
            <v>OTHER REVENUE</v>
          </cell>
          <cell r="C299" t="str">
            <v>MISC REV</v>
          </cell>
        </row>
        <row r="300">
          <cell r="A300" t="str">
            <v>481005 - OTHER-INDIGENT LEGAL REIMB</v>
          </cell>
          <cell r="B300" t="str">
            <v>OTHER REVENUE</v>
          </cell>
          <cell r="C300" t="str">
            <v>MISC REV</v>
          </cell>
        </row>
        <row r="301">
          <cell r="A301" t="str">
            <v>481006 - OTHER-PUBLICATION REIMB</v>
          </cell>
          <cell r="B301" t="str">
            <v>OTHER REVENUE</v>
          </cell>
          <cell r="C301" t="str">
            <v>MISC REV</v>
          </cell>
        </row>
        <row r="302">
          <cell r="A302" t="str">
            <v>481007 - OTHER-HISTORICAL COMM CRUISE</v>
          </cell>
          <cell r="B302" t="str">
            <v>OTHER REVENUE</v>
          </cell>
          <cell r="C302" t="str">
            <v>MISC REV</v>
          </cell>
        </row>
        <row r="303">
          <cell r="A303" t="str">
            <v>481008 - OTHER-FLEX TAX REFUND</v>
          </cell>
          <cell r="B303" t="str">
            <v>OTHER REVENUE</v>
          </cell>
          <cell r="C303" t="str">
            <v>MISC REV</v>
          </cell>
        </row>
        <row r="304">
          <cell r="A304" t="str">
            <v>481009 - OTHER-COMMISSARY ASSET PURCHSE</v>
          </cell>
          <cell r="B304" t="str">
            <v>OTHER REVENUE</v>
          </cell>
          <cell r="C304" t="str">
            <v>MISC REV</v>
          </cell>
        </row>
        <row r="305">
          <cell r="A305" t="str">
            <v>481010 - OTHER-MISCELLANEOUS</v>
          </cell>
          <cell r="B305" t="str">
            <v>OTHER REVENUE</v>
          </cell>
          <cell r="C305" t="str">
            <v>MISC REV</v>
          </cell>
        </row>
        <row r="306">
          <cell r="A306" t="str">
            <v>481011 - OTHER-TUITION REIMBURSEMENT</v>
          </cell>
          <cell r="B306" t="str">
            <v>OTHER REVENUE</v>
          </cell>
          <cell r="C306" t="str">
            <v>MISC REV</v>
          </cell>
        </row>
        <row r="307">
          <cell r="A307" t="str">
            <v>481012 - OTHER-EASEMENT</v>
          </cell>
          <cell r="B307" t="str">
            <v>OTHER REVENUE</v>
          </cell>
          <cell r="C307" t="str">
            <v>MISC REV</v>
          </cell>
        </row>
        <row r="308">
          <cell r="A308" t="str">
            <v>481013 - OTHER-TAX A/C MOTOR VEHCLE TAX</v>
          </cell>
          <cell r="B308" t="str">
            <v>OTHER REVENUE</v>
          </cell>
          <cell r="C308" t="str">
            <v>MISC REV</v>
          </cell>
        </row>
        <row r="309">
          <cell r="A309" t="str">
            <v>481014 - OTHER-ARBITRAGE REFUND</v>
          </cell>
          <cell r="B309" t="str">
            <v>OTHER REVENUE</v>
          </cell>
          <cell r="C309" t="str">
            <v>MISC REV</v>
          </cell>
        </row>
        <row r="310">
          <cell r="A310" t="str">
            <v>481015 - OTHER-BLDG DAMAGE SETTLEMENT</v>
          </cell>
          <cell r="B310" t="str">
            <v>OTHER REVENUE</v>
          </cell>
          <cell r="C310" t="str">
            <v>MISC REV</v>
          </cell>
        </row>
        <row r="311">
          <cell r="A311" t="str">
            <v>481016 - OTHER-FORFEITED FLEX BENEFITS</v>
          </cell>
          <cell r="B311" t="str">
            <v>OTHER REVENUE</v>
          </cell>
          <cell r="C311" t="str">
            <v>MISC REV</v>
          </cell>
        </row>
        <row r="312">
          <cell r="A312" t="str">
            <v>481017 - OTHER-SALE OF USED OIL</v>
          </cell>
          <cell r="B312" t="str">
            <v>OTHER REVENUE</v>
          </cell>
          <cell r="C312" t="str">
            <v>MISC REV</v>
          </cell>
        </row>
        <row r="313">
          <cell r="A313" t="str">
            <v>481018 - OTHER-NUISANCE ABATEMENT</v>
          </cell>
          <cell r="B313" t="str">
            <v>OTHER REVENUE</v>
          </cell>
          <cell r="C313" t="str">
            <v>MISC REV</v>
          </cell>
        </row>
        <row r="314">
          <cell r="A314" t="str">
            <v>481019 - OTHER-PRESCRIPTION REBATES</v>
          </cell>
          <cell r="B314" t="str">
            <v>OTHER REVENUE</v>
          </cell>
          <cell r="C314" t="str">
            <v>MISC REV</v>
          </cell>
        </row>
        <row r="315">
          <cell r="A315" t="str">
            <v>481020 - OTHER-UNCLAIMD PRPTY TAX REFND</v>
          </cell>
          <cell r="B315" t="str">
            <v>OTHER REVENUE</v>
          </cell>
          <cell r="C315" t="str">
            <v>MISC REV</v>
          </cell>
        </row>
        <row r="316">
          <cell r="A316" t="str">
            <v>481021 - OTHER-EQUIPMENT RENTAL</v>
          </cell>
          <cell r="B316" t="str">
            <v>OTHER REVENUE</v>
          </cell>
          <cell r="C316" t="str">
            <v>MISC REV</v>
          </cell>
        </row>
        <row r="317">
          <cell r="A317" t="str">
            <v>481022 - OTHER-LOANSTAR REBATE</v>
          </cell>
          <cell r="B317" t="str">
            <v>OTHER REVENUE</v>
          </cell>
          <cell r="C317" t="str">
            <v>MISC REV</v>
          </cell>
        </row>
        <row r="318">
          <cell r="A318" t="str">
            <v>481023 - OTHER-BADGE REPLACEMENT</v>
          </cell>
          <cell r="B318" t="str">
            <v>OTHER REVENUE</v>
          </cell>
          <cell r="C318" t="str">
            <v>MISC REV</v>
          </cell>
        </row>
        <row r="319">
          <cell r="A319" t="str">
            <v>481024 - OTHER-DC TAX CLERK POSITION</v>
          </cell>
          <cell r="B319" t="str">
            <v>OTHER REVENUE</v>
          </cell>
          <cell r="C319" t="str">
            <v>MISC REV</v>
          </cell>
        </row>
        <row r="320">
          <cell r="A320" t="str">
            <v>481025 - OTHER-EMPLOYEE FUNCTION FEES</v>
          </cell>
          <cell r="B320" t="str">
            <v>OTHER REVENUE</v>
          </cell>
          <cell r="C320" t="str">
            <v>MISC REV</v>
          </cell>
        </row>
        <row r="321">
          <cell r="A321" t="str">
            <v>481026 - OTHER-STALE DATED CHECKS</v>
          </cell>
          <cell r="B321" t="str">
            <v>OTHER REVENUE</v>
          </cell>
          <cell r="C321" t="str">
            <v>MISC REV</v>
          </cell>
        </row>
        <row r="322">
          <cell r="A322" t="str">
            <v>481027 - OTHER-PURCHASE DISCOUNT REBATE</v>
          </cell>
          <cell r="B322" t="str">
            <v>OTHER REVENUE</v>
          </cell>
          <cell r="C322" t="str">
            <v>MISC REV</v>
          </cell>
        </row>
        <row r="323">
          <cell r="A323" t="str">
            <v>481028 - OTHER-SALE OF NON-CAP ASSETS</v>
          </cell>
          <cell r="B323" t="str">
            <v>OTHER REVENUE</v>
          </cell>
          <cell r="C323" t="str">
            <v>MISC REV</v>
          </cell>
        </row>
        <row r="324">
          <cell r="A324" t="str">
            <v>481029 - OTHER-LEGAL SETTLEMENT</v>
          </cell>
          <cell r="B324" t="str">
            <v>OTHER REVENUE</v>
          </cell>
          <cell r="C324" t="str">
            <v>MISC REV</v>
          </cell>
        </row>
        <row r="325">
          <cell r="A325" t="str">
            <v>481058 - OTHER-REIMBURSEMENT PROGRAM</v>
          </cell>
          <cell r="B325" t="str">
            <v>OTHER REVENUE</v>
          </cell>
          <cell r="C325" t="str">
            <v>MISC REV</v>
          </cell>
        </row>
        <row r="326">
          <cell r="A326" t="str">
            <v>481059 - OTHER-REBATES</v>
          </cell>
          <cell r="B326" t="str">
            <v>OTHER REVENUE</v>
          </cell>
          <cell r="C326" t="str">
            <v>MISC REV</v>
          </cell>
        </row>
        <row r="327">
          <cell r="A327" t="str">
            <v>481060 - OTHER-NON-CAPITAL GT PROCEED</v>
          </cell>
          <cell r="B327" t="str">
            <v>OTHER REVENUE</v>
          </cell>
          <cell r="C327" t="str">
            <v>NON-GOVERNMENTAL GRANT</v>
          </cell>
        </row>
        <row r="328">
          <cell r="A328" t="str">
            <v>481061 - OTHER-SALE OF SEIZED ASSETS</v>
          </cell>
          <cell r="B328" t="str">
            <v>OTHER REVENUE</v>
          </cell>
          <cell r="C328" t="str">
            <v>SEIZED ASSETS</v>
          </cell>
        </row>
        <row r="329">
          <cell r="A329" t="str">
            <v>481062 - OTHER-STATE COURT SEIZURE</v>
          </cell>
          <cell r="B329" t="str">
            <v>OTHER REVENUE</v>
          </cell>
          <cell r="C329" t="str">
            <v>SEIZED ASSETS</v>
          </cell>
        </row>
        <row r="330">
          <cell r="A330" t="str">
            <v>481063 - OTHER-FEDERAL COURT SEIZURE</v>
          </cell>
          <cell r="B330" t="str">
            <v>OTHER REVENUE</v>
          </cell>
          <cell r="C330" t="str">
            <v>SEIZED ASSETS</v>
          </cell>
        </row>
        <row r="331">
          <cell r="A331" t="str">
            <v>481064 - OTHER-LOCAL SEIZURE NON 59</v>
          </cell>
          <cell r="B331" t="str">
            <v>OTHER REVENUE</v>
          </cell>
          <cell r="C331" t="str">
            <v>SEIZED ASSETS</v>
          </cell>
        </row>
        <row r="332">
          <cell r="A332" t="str">
            <v>481065 - OTHER-INDIGNT PRESCRIPTN CARD</v>
          </cell>
          <cell r="B332" t="str">
            <v>OTHER REVENUE</v>
          </cell>
          <cell r="C332" t="str">
            <v>COMMISSION</v>
          </cell>
        </row>
        <row r="333">
          <cell r="A333" t="str">
            <v>481066 - OTHER-INDIRECT COST</v>
          </cell>
          <cell r="B333" t="str">
            <v>OTHER REVENUE</v>
          </cell>
        </row>
        <row r="334">
          <cell r="A334" t="str">
            <v>481067 - OTHER-ICE</v>
          </cell>
          <cell r="B334" t="str">
            <v>OTHER REVENUE</v>
          </cell>
        </row>
        <row r="335">
          <cell r="A335" t="str">
            <v>481090 - OTHER-CAPITAL GRANT PROCEEDS</v>
          </cell>
          <cell r="B335" t="str">
            <v>OTHER REVENUE</v>
          </cell>
          <cell r="C335" t="str">
            <v>NON-GOVERNMENTAL GRANT</v>
          </cell>
        </row>
        <row r="336">
          <cell r="A336" t="str">
            <v>481099 - OTHER-SUSPENSE</v>
          </cell>
          <cell r="B336" t="str">
            <v>OTHER REVENUE</v>
          </cell>
          <cell r="C336" t="str">
            <v>MISC REV</v>
          </cell>
        </row>
        <row r="337">
          <cell r="A337" t="str">
            <v>482001 - DONATIONS-MEMORIAL</v>
          </cell>
          <cell r="B337" t="str">
            <v>OTHER REVENUE</v>
          </cell>
          <cell r="C337" t="str">
            <v>DONATIONS</v>
          </cell>
        </row>
        <row r="338">
          <cell r="A338" t="str">
            <v>482002 - DONATIONS-OPEN SPACE/PARK</v>
          </cell>
          <cell r="B338" t="str">
            <v>OTHER REVENUE</v>
          </cell>
          <cell r="C338" t="str">
            <v>DONATIONS</v>
          </cell>
        </row>
        <row r="339">
          <cell r="A339" t="str">
            <v>482003 - DONATIONS-INDIGENT CARE</v>
          </cell>
          <cell r="B339" t="str">
            <v>OTHER REVENUE</v>
          </cell>
          <cell r="C339" t="str">
            <v>DONATIONS</v>
          </cell>
        </row>
        <row r="340">
          <cell r="A340" t="str">
            <v>482004 - DONATIONS-SUBSTANCE ABUSE</v>
          </cell>
          <cell r="B340" t="str">
            <v>OTHER REVENUE</v>
          </cell>
          <cell r="C340" t="str">
            <v>DONATIONS</v>
          </cell>
        </row>
        <row r="341">
          <cell r="A341" t="str">
            <v>482005 - DONATIONS-ENVIRONMENT</v>
          </cell>
          <cell r="B341" t="str">
            <v>OTHER REVENUE</v>
          </cell>
          <cell r="C341" t="str">
            <v>DONATIONS</v>
          </cell>
        </row>
        <row r="342">
          <cell r="A342" t="str">
            <v>482006 - DONATIONS-CRIME VICTIMS</v>
          </cell>
          <cell r="B342" t="str">
            <v>OTHER REVENUE</v>
          </cell>
          <cell r="C342" t="str">
            <v>DONATIONS</v>
          </cell>
        </row>
        <row r="343">
          <cell r="A343" t="str">
            <v>482007 - DONATIONS-JUVENILE PROB</v>
          </cell>
          <cell r="B343" t="str">
            <v>OTHER REVENUE</v>
          </cell>
          <cell r="C343" t="str">
            <v>DONATIONS</v>
          </cell>
        </row>
        <row r="344">
          <cell r="A344" t="str">
            <v>482008 - DONATIONS-ANIMAL SHELTER</v>
          </cell>
          <cell r="B344" t="str">
            <v>OTHER REVENUE</v>
          </cell>
          <cell r="C344" t="str">
            <v>DONATIONS</v>
          </cell>
        </row>
        <row r="345">
          <cell r="A345" t="str">
            <v>482009 - DONATIONS-RIGHT OF WAY</v>
          </cell>
          <cell r="B345" t="str">
            <v>OTHER REVENUE</v>
          </cell>
          <cell r="C345" t="str">
            <v>DONATIONS</v>
          </cell>
        </row>
        <row r="346">
          <cell r="A346" t="str">
            <v>482010 - DONATIONS-NON-SPECIFIC</v>
          </cell>
          <cell r="B346" t="str">
            <v>OTHER REVENUE</v>
          </cell>
          <cell r="C346" t="str">
            <v>DONATIONS</v>
          </cell>
        </row>
        <row r="347">
          <cell r="A347" t="str">
            <v>482011 - DONATIONS-TAX ME MORE</v>
          </cell>
          <cell r="B347" t="str">
            <v>OTHER REVENUE</v>
          </cell>
          <cell r="C347" t="str">
            <v>DONATIONS</v>
          </cell>
        </row>
        <row r="348">
          <cell r="A348" t="str">
            <v>482012 - DONATIONS-JUROR-DRUG COURT</v>
          </cell>
          <cell r="B348" t="str">
            <v>OTHER REVENUE</v>
          </cell>
          <cell r="C348" t="str">
            <v>DONATIONS</v>
          </cell>
        </row>
        <row r="349">
          <cell r="A349" t="str">
            <v>482013 - DONATIONS-JUROR-VETERANS</v>
          </cell>
          <cell r="B349" t="str">
            <v>OTHER REVENUE</v>
          </cell>
          <cell r="C349" t="str">
            <v>DONATIONS</v>
          </cell>
        </row>
        <row r="350">
          <cell r="A350" t="str">
            <v>482014 - DONATIONS</v>
          </cell>
          <cell r="B350" t="str">
            <v>OTHER REVENUE</v>
          </cell>
          <cell r="C350" t="str">
            <v>DONATIONS</v>
          </cell>
        </row>
        <row r="351">
          <cell r="A351" t="str">
            <v>488001 - PRIOR PERIOD ADJUSTMENT</v>
          </cell>
          <cell r="B351" t="str">
            <v>OTHER REVENUE</v>
          </cell>
          <cell r="C351" t="str">
            <v>PRIOR PERIOD ADJUSTMENT</v>
          </cell>
        </row>
        <row r="352">
          <cell r="A352" t="str">
            <v>489001 - CONVR-CHARGES FOR SERVICES</v>
          </cell>
          <cell r="B352" t="str">
            <v>OTHER REVENUE</v>
          </cell>
          <cell r="C352" t="str">
            <v>FULL ACCRUAL CONVERSION</v>
          </cell>
        </row>
        <row r="353">
          <cell r="A353" t="str">
            <v>489002 - CONVR-OPERATING GRANTS &amp; CONT</v>
          </cell>
          <cell r="B353" t="str">
            <v>OTHER REVENUE</v>
          </cell>
          <cell r="C353" t="str">
            <v>FULL ACCRUAL CONVERSION</v>
          </cell>
        </row>
        <row r="354">
          <cell r="A354" t="str">
            <v>489003 - CONVR-CAPITAL GRANTS AND CONT</v>
          </cell>
          <cell r="B354" t="str">
            <v>OTHER REVENUE</v>
          </cell>
          <cell r="C354" t="str">
            <v>FULL ACCRUAL CONVERSION</v>
          </cell>
        </row>
        <row r="355">
          <cell r="A355" t="str">
            <v>489201 - OFS-SALE OF CAPITAL EQUIPMENT</v>
          </cell>
          <cell r="B355" t="str">
            <v>OTHER REVENUE</v>
          </cell>
          <cell r="C355" t="str">
            <v>PROCEEDS OF GEN F/A DISP</v>
          </cell>
        </row>
        <row r="356">
          <cell r="A356" t="str">
            <v>489202 - OFS-SALE OF LAND</v>
          </cell>
          <cell r="B356" t="str">
            <v>OTHER REVENUE</v>
          </cell>
          <cell r="C356" t="str">
            <v>PROCEEDS OF GEN F/A DISP</v>
          </cell>
        </row>
        <row r="357">
          <cell r="A357" t="str">
            <v>489203 - OFS-SALE OF NON-CAPITAL EQUIP</v>
          </cell>
          <cell r="B357" t="str">
            <v>OTHER REVENUE</v>
          </cell>
          <cell r="C357" t="str">
            <v>PROCEEDS OF GEN F/A DISP</v>
          </cell>
        </row>
        <row r="358">
          <cell r="A358" t="str">
            <v>489204 - OFS-EQUIPMENT TRADE IN</v>
          </cell>
          <cell r="B358" t="str">
            <v>OTHER REVENUE</v>
          </cell>
          <cell r="C358" t="str">
            <v>PROCEEDS OF GEN F/A DISP</v>
          </cell>
        </row>
        <row r="359">
          <cell r="A359" t="str">
            <v>489205 - OFS-SALE OF BUILDING</v>
          </cell>
          <cell r="B359" t="str">
            <v>OTHER REVENUE</v>
          </cell>
          <cell r="C359" t="str">
            <v>PROCEEDS OF GEN F/A DISP</v>
          </cell>
        </row>
        <row r="360">
          <cell r="A360" t="str">
            <v>489206 - OFS-SALE OF RDS &amp; RIGHT OF WAY</v>
          </cell>
          <cell r="B360" t="str">
            <v>OTHER REVENUE</v>
          </cell>
          <cell r="C360" t="str">
            <v>PROCEEDS OF GEN F/A DISP</v>
          </cell>
        </row>
        <row r="361">
          <cell r="A361" t="str">
            <v>489207 - OFS-GAIN ON SALE OF ASSET</v>
          </cell>
          <cell r="B361" t="str">
            <v>OTHER REVENUE</v>
          </cell>
          <cell r="C361" t="str">
            <v>CAPITAL GAIN</v>
          </cell>
        </row>
        <row r="362">
          <cell r="A362" t="str">
            <v>489208 - OFS-CAPITAL CONTR-PERM IMPR</v>
          </cell>
          <cell r="B362" t="str">
            <v>OTHER REVENUE</v>
          </cell>
          <cell r="C362" t="str">
            <v>CAPITAL CONTRIBUTIONS</v>
          </cell>
        </row>
        <row r="363">
          <cell r="A363" t="str">
            <v>489501 - OFS-BOND PROCEEDS</v>
          </cell>
          <cell r="B363" t="str">
            <v>OTHER REVENUE</v>
          </cell>
          <cell r="C363" t="str">
            <v>DEBT PROCEEDS</v>
          </cell>
        </row>
        <row r="364">
          <cell r="A364" t="str">
            <v>489502 - OFS-PREMIUM ON BOND SALE</v>
          </cell>
          <cell r="B364" t="str">
            <v>OTHER REVENUE</v>
          </cell>
          <cell r="C364" t="str">
            <v>DEBT PROCEEDS</v>
          </cell>
        </row>
        <row r="365">
          <cell r="A365" t="str">
            <v>489503 - OFS-TAX NOTE PROCEEDS</v>
          </cell>
          <cell r="B365" t="str">
            <v>OTHER REVENUE</v>
          </cell>
          <cell r="C365" t="str">
            <v>DEBT PROCEEDS</v>
          </cell>
        </row>
        <row r="366">
          <cell r="A366" t="str">
            <v>489504 - OFS-REFUND OF ESCROW</v>
          </cell>
          <cell r="B366" t="str">
            <v>OTHER REVENUE</v>
          </cell>
          <cell r="C366" t="str">
            <v>DEBT PROCEEDS</v>
          </cell>
        </row>
        <row r="367">
          <cell r="A367" t="str">
            <v>489505 - OFS-LOAN PROCEEDS</v>
          </cell>
          <cell r="B367" t="str">
            <v>OTHER REVENUE</v>
          </cell>
          <cell r="C367" t="str">
            <v>DEBT PROCEEDS</v>
          </cell>
        </row>
        <row r="368">
          <cell r="A368" t="str">
            <v>489520 - OFS-ISSUANCE OF LEASES</v>
          </cell>
          <cell r="B368" t="str">
            <v>OTHER REVENUE</v>
          </cell>
        </row>
        <row r="369">
          <cell r="A369" t="str">
            <v>489521 - OFS-ISSUANCE OF SUBSCRIPTIONS</v>
          </cell>
          <cell r="B369" t="str">
            <v>OTHER REVENUE</v>
          </cell>
        </row>
        <row r="370">
          <cell r="A370" t="str">
            <v>489999 - OFS-CONVERSION ADJ</v>
          </cell>
          <cell r="B370" t="str">
            <v>OTHER REVENUE</v>
          </cell>
          <cell r="C370" t="str">
            <v>DEBT PROCEEDS</v>
          </cell>
        </row>
        <row r="371">
          <cell r="A371" t="str">
            <v>490001 - FR-GENERAL</v>
          </cell>
          <cell r="B371" t="str">
            <v>OTHER FINANCING SOURCES</v>
          </cell>
          <cell r="C371" t="str">
            <v>INTERFUND TRFR IN</v>
          </cell>
        </row>
        <row r="372">
          <cell r="A372" t="str">
            <v>490005 - FR-DISTRICT CTS REC TECH</v>
          </cell>
          <cell r="B372" t="str">
            <v>OTHER FINANCING SOURCES</v>
          </cell>
          <cell r="C372" t="str">
            <v>INTERFUND TRFR IN</v>
          </cell>
        </row>
        <row r="373">
          <cell r="A373" t="str">
            <v>490018 - FR-JUVENILE PROBATION</v>
          </cell>
          <cell r="B373" t="str">
            <v>OTHER FINANCING SOURCES</v>
          </cell>
          <cell r="C373" t="str">
            <v>INTERFUND TRFR IN</v>
          </cell>
        </row>
        <row r="374">
          <cell r="A374" t="str">
            <v>490019 - FR-PRE-TRIAL RELEASE</v>
          </cell>
          <cell r="B374" t="str">
            <v>OTHER FINANCING SOURCES</v>
          </cell>
          <cell r="C374" t="str">
            <v>INTERFUND TRFR IN</v>
          </cell>
        </row>
        <row r="375">
          <cell r="A375" t="str">
            <v>490020 - FR-JURY</v>
          </cell>
          <cell r="B375" t="str">
            <v>OTHER FINANCING SOURCES</v>
          </cell>
          <cell r="C375" t="str">
            <v>INTERFUND TRFR IN</v>
          </cell>
        </row>
        <row r="376">
          <cell r="A376" t="str">
            <v>490022 - FR-MYERS PARK OPERATING</v>
          </cell>
          <cell r="B376" t="str">
            <v>OTHER FINANCING SOURCES</v>
          </cell>
          <cell r="C376" t="str">
            <v>INTERFUND TRFR IN</v>
          </cell>
        </row>
        <row r="377">
          <cell r="A377" t="str">
            <v>490029 - FR-COURTHOUSE SECURITY</v>
          </cell>
          <cell r="B377" t="str">
            <v>OTHER FINANCING SOURCES</v>
          </cell>
          <cell r="C377" t="str">
            <v>INTERFUND TRFR IN</v>
          </cell>
        </row>
        <row r="378">
          <cell r="A378" t="str">
            <v>490030 - FR-CODE INSPECTION</v>
          </cell>
          <cell r="B378" t="str">
            <v>OTHER FINANCING SOURCES</v>
          </cell>
          <cell r="C378" t="str">
            <v>INTERFUND TRFR IN</v>
          </cell>
        </row>
        <row r="379">
          <cell r="A379" t="str">
            <v>490041 - FR-JUVENILE ALTERNATIVE ED</v>
          </cell>
          <cell r="B379" t="str">
            <v>OTHER FINANCING SOURCES</v>
          </cell>
          <cell r="C379" t="str">
            <v>INTERFUND TRFR IN</v>
          </cell>
        </row>
        <row r="380">
          <cell r="A380" t="str">
            <v>490045 - FR-JUVENILE OCSOP</v>
          </cell>
          <cell r="B380" t="str">
            <v>OTHER FINANCING SOURCES</v>
          </cell>
          <cell r="C380" t="str">
            <v>INTERFUND TRFR IN</v>
          </cell>
        </row>
        <row r="381">
          <cell r="A381" t="str">
            <v>490499 - FR-PERMANENT IMPROVEMENT</v>
          </cell>
          <cell r="B381" t="str">
            <v>OTHER FINANCING SOURCES</v>
          </cell>
          <cell r="C381" t="str">
            <v>CAPITAL CONTRIBUTIONS</v>
          </cell>
        </row>
        <row r="382">
          <cell r="A382" t="str">
            <v>490996 - FR-REVENUE SHARING</v>
          </cell>
          <cell r="B382" t="str">
            <v>OTHER FINANCING SOURCES</v>
          </cell>
          <cell r="C382" t="str">
            <v>INTERFUND TRFR IN</v>
          </cell>
        </row>
        <row r="383">
          <cell r="A383" t="str">
            <v>490997 - FR-FREEDOM PHONE</v>
          </cell>
          <cell r="B383" t="str">
            <v>OTHER FINANCING SOURCES</v>
          </cell>
          <cell r="C383" t="str">
            <v>INTERFUND TRFR IN</v>
          </cell>
        </row>
        <row r="384">
          <cell r="A384" t="str">
            <v>491001 - FR-GENERAL</v>
          </cell>
          <cell r="B384" t="str">
            <v>OTHER FINANCING SOURCES</v>
          </cell>
          <cell r="C384" t="str">
            <v>INTERFUND TRFR IN</v>
          </cell>
        </row>
        <row r="385">
          <cell r="A385" t="str">
            <v>491010 - FR-ROAD AND BRIDGE</v>
          </cell>
          <cell r="B385" t="str">
            <v>OTHER FINANCING SOURCES</v>
          </cell>
          <cell r="C385" t="str">
            <v>INTERFUND TRFR IN</v>
          </cell>
        </row>
        <row r="386">
          <cell r="A386" t="str">
            <v>491024 - FR-DIST CLRK REC MGMT &amp; PRES</v>
          </cell>
          <cell r="B386" t="str">
            <v>OTHER FINANCING SOURCES</v>
          </cell>
          <cell r="C386" t="str">
            <v>INTERFUND TRFR IN</v>
          </cell>
        </row>
        <row r="387">
          <cell r="A387" t="str">
            <v>491025 - FR-CO CLRK REC MGMT &amp; PRES</v>
          </cell>
          <cell r="B387" t="str">
            <v>OTHER FINANCING SOURCES</v>
          </cell>
          <cell r="C387" t="str">
            <v>INTERFUND TRFR IN</v>
          </cell>
        </row>
        <row r="388">
          <cell r="A388" t="str">
            <v>491031 - FR-ECONOMIC DEVELOPMENT 2001</v>
          </cell>
          <cell r="B388" t="str">
            <v>OTHER FINANCING SOURCES</v>
          </cell>
          <cell r="C388" t="str">
            <v>INTERFUND TRFR IN</v>
          </cell>
        </row>
        <row r="389">
          <cell r="A389" t="str">
            <v>491033 - FR-CONTRACT ELECTIONS</v>
          </cell>
          <cell r="B389" t="str">
            <v>OTHER FINANCING SOURCES</v>
          </cell>
          <cell r="C389" t="str">
            <v>INTERFUND TRFR IN</v>
          </cell>
        </row>
        <row r="390">
          <cell r="A390" t="str">
            <v>491036 - FR-SHERIFF FORFEITURE STATE</v>
          </cell>
          <cell r="B390" t="str">
            <v>OTHER FINANCING SOURCES</v>
          </cell>
          <cell r="C390" t="str">
            <v>INTERFUND TRFR IN</v>
          </cell>
        </row>
        <row r="391">
          <cell r="A391" t="str">
            <v>491037 - FR-DIST. ATTORNEY FORFEITURE</v>
          </cell>
          <cell r="B391" t="str">
            <v>OTHER FINANCING SOURCES</v>
          </cell>
          <cell r="C391" t="str">
            <v>INTERFUND TRFR IN</v>
          </cell>
        </row>
        <row r="392">
          <cell r="A392" t="str">
            <v>491038 - FR-DA SERVICE FEE</v>
          </cell>
          <cell r="B392" t="str">
            <v>OTHER FINANCING SOURCES</v>
          </cell>
          <cell r="C392" t="str">
            <v>INTERFUND TRFR IN</v>
          </cell>
        </row>
        <row r="393">
          <cell r="A393" t="str">
            <v>491040 - FR-HEALTHCARE FOUNDATION</v>
          </cell>
          <cell r="B393" t="str">
            <v>OTHER FINANCING SOURCES</v>
          </cell>
          <cell r="C393" t="str">
            <v>INTERFUND TRFR IN</v>
          </cell>
        </row>
        <row r="394">
          <cell r="A394" t="str">
            <v>491049 - FR-DA PRETRIAL INTERVNTN PRG</v>
          </cell>
          <cell r="B394" t="str">
            <v>OTHER FINANCING SOURCES</v>
          </cell>
          <cell r="C394" t="str">
            <v>INTERFUND TRFR IN</v>
          </cell>
        </row>
        <row r="395">
          <cell r="A395" t="str">
            <v>491050 - FR-DRUG COURT PROGRAM</v>
          </cell>
          <cell r="B395" t="str">
            <v>OTHER FINANCING SOURCES</v>
          </cell>
          <cell r="C395" t="str">
            <v>INTERFUND TRFR IN</v>
          </cell>
        </row>
        <row r="396">
          <cell r="A396" t="str">
            <v>491056 - FR-DIS CLRK CRT REC PRESRVTN</v>
          </cell>
          <cell r="B396" t="str">
            <v>OTHER FINANCING SOURCES</v>
          </cell>
          <cell r="C396" t="str">
            <v>INTERFUND TRFR IN</v>
          </cell>
        </row>
        <row r="397">
          <cell r="A397" t="str">
            <v>491057 - FR-DA APPORTIONMENT</v>
          </cell>
          <cell r="B397" t="str">
            <v>OTHER FINANCING SOURCES</v>
          </cell>
          <cell r="C397" t="str">
            <v>INTERFUND TRFR IN</v>
          </cell>
        </row>
        <row r="398">
          <cell r="A398" t="str">
            <v>491060 - FR-DA FEDERAL FORFEITURE</v>
          </cell>
          <cell r="B398" t="str">
            <v>OTHER FINANCING SOURCES</v>
          </cell>
          <cell r="C398" t="str">
            <v>INTERFUND TRFR IN</v>
          </cell>
        </row>
        <row r="399">
          <cell r="A399" t="str">
            <v>491065 - FR-SHERIFF FORFEITURE FED</v>
          </cell>
          <cell r="B399" t="str">
            <v>OTHER FINANCING SOURCES</v>
          </cell>
          <cell r="C399" t="str">
            <v>INTERFUND TRFR IN</v>
          </cell>
        </row>
        <row r="400">
          <cell r="A400" t="str">
            <v>491066 - FR-SO TREASURY FORFEITURE</v>
          </cell>
          <cell r="B400" t="str">
            <v>OTHER FINANCING SOURCES</v>
          </cell>
          <cell r="C400" t="str">
            <v>INTERFUND TRFR IN</v>
          </cell>
        </row>
        <row r="401">
          <cell r="A401" t="str">
            <v>492002 - FR-COUNTY CLERK-OTHER</v>
          </cell>
          <cell r="B401" t="str">
            <v>OTHER FINANCING SOURCES</v>
          </cell>
          <cell r="C401" t="str">
            <v>PROCEEDS OF GEN F/A DISP</v>
          </cell>
        </row>
        <row r="402">
          <cell r="A402" t="str">
            <v>492101 - FR-FEDERAL GRANTS</v>
          </cell>
          <cell r="B402" t="str">
            <v>OTHER FINANCING SOURCES</v>
          </cell>
          <cell r="C402" t="str">
            <v>INTERFUND TRFR IN</v>
          </cell>
        </row>
        <row r="403">
          <cell r="A403" t="str">
            <v>492132 - FR-AMERICAN RESCUE PLAN ACT</v>
          </cell>
          <cell r="B403" t="str">
            <v>OTHER FINANCING SOURCES</v>
          </cell>
          <cell r="C403" t="str">
            <v>INTERFUND TRFR IN</v>
          </cell>
        </row>
        <row r="404">
          <cell r="A404" t="str">
            <v>492106 - FR-LLEBG 2003</v>
          </cell>
          <cell r="B404" t="str">
            <v>OTHER FINANCING SOURCES</v>
          </cell>
          <cell r="C404" t="str">
            <v>INTERFUND TRFR IN</v>
          </cell>
        </row>
        <row r="405">
          <cell r="A405" t="str">
            <v>492581 - FR-TCEQ GRANT</v>
          </cell>
          <cell r="B405" t="str">
            <v>OTHER FINANCING SOURCES</v>
          </cell>
          <cell r="C405" t="str">
            <v>INTERFUND TRFR IN</v>
          </cell>
        </row>
        <row r="406">
          <cell r="A406" t="str">
            <v>492582 - FR-JUV ACCT INC BLOCK GRANT</v>
          </cell>
          <cell r="B406" t="str">
            <v>OTHER FINANCING SOURCES</v>
          </cell>
          <cell r="C406" t="str">
            <v>INTERFUND TRFR IN</v>
          </cell>
        </row>
        <row r="407">
          <cell r="A407" t="str">
            <v>492761 - FR-PRIVATE SECTOR GRANTS</v>
          </cell>
          <cell r="B407" t="str">
            <v>OTHER FINANCING SOURCES</v>
          </cell>
          <cell r="C407" t="str">
            <v>INTERFUND TRFR IN</v>
          </cell>
        </row>
        <row r="408">
          <cell r="A408" t="str">
            <v>492992 - FR-CRIME PREV GRANT 1998</v>
          </cell>
          <cell r="B408" t="str">
            <v>OTHER FINANCING SOURCES</v>
          </cell>
          <cell r="C408" t="str">
            <v>INTERFUND TRFR IN</v>
          </cell>
        </row>
        <row r="409">
          <cell r="A409" t="str">
            <v>492993 - FR-VOCA GRANT</v>
          </cell>
          <cell r="B409" t="str">
            <v>OTHER FINANCING SOURCES</v>
          </cell>
          <cell r="C409" t="str">
            <v>INTERFUND TRFR IN</v>
          </cell>
        </row>
        <row r="410">
          <cell r="A410" t="str">
            <v>492994 - FR-CRIME PREV GRANT 1997</v>
          </cell>
          <cell r="B410" t="str">
            <v>OTHER FINANCING SOURCES</v>
          </cell>
          <cell r="C410" t="str">
            <v>INTERFUND TRFR IN</v>
          </cell>
        </row>
        <row r="411">
          <cell r="A411" t="str">
            <v>493001 - FR-DEBT SERVICE</v>
          </cell>
          <cell r="B411" t="str">
            <v>OTHER FINANCING SOURCES</v>
          </cell>
          <cell r="C411" t="str">
            <v>INTERFUND TRFR IN</v>
          </cell>
        </row>
        <row r="412">
          <cell r="A412" t="str">
            <v>493901 - FR-LTD TAX PERM IMP 02 DS</v>
          </cell>
          <cell r="B412" t="str">
            <v>OTHER FINANCING SOURCES</v>
          </cell>
          <cell r="C412" t="str">
            <v>INTERFUND TRFR IN</v>
          </cell>
        </row>
        <row r="413">
          <cell r="A413" t="str">
            <v>493902 - FR-LTD TAX PI &amp; RFND 04 DS</v>
          </cell>
          <cell r="B413" t="str">
            <v>OTHER FINANCING SOURCES</v>
          </cell>
          <cell r="C413" t="str">
            <v>INTERFUND TRFR IN</v>
          </cell>
        </row>
        <row r="414">
          <cell r="A414" t="str">
            <v>493903 - FR-LTD TAX PI &amp; RFND 05 DS</v>
          </cell>
          <cell r="B414" t="str">
            <v>OTHER FINANCING SOURCES</v>
          </cell>
          <cell r="C414" t="str">
            <v>INTERFUND TRFR IN</v>
          </cell>
        </row>
        <row r="415">
          <cell r="A415" t="str">
            <v>493904 - FR-LTD TAX PERM IMP 06 DS</v>
          </cell>
          <cell r="B415" t="str">
            <v>OTHER FINANCING SOURCES</v>
          </cell>
          <cell r="C415" t="str">
            <v>INTERFUND TRFR IN</v>
          </cell>
        </row>
        <row r="416">
          <cell r="A416" t="str">
            <v>493905 - FR-LTD TAX PERM IMP 07 DS</v>
          </cell>
          <cell r="B416" t="str">
            <v>OTHER FINANCING SOURCES</v>
          </cell>
          <cell r="C416" t="str">
            <v>INTERFUND TRFR IN</v>
          </cell>
        </row>
        <row r="417">
          <cell r="A417" t="str">
            <v>493906 - FR-LTD TAX PI &amp; RFND 08 DS</v>
          </cell>
          <cell r="B417" t="str">
            <v>OTHER FINANCING SOURCES</v>
          </cell>
          <cell r="C417" t="str">
            <v>INTERFUND TRFR IN</v>
          </cell>
        </row>
        <row r="418">
          <cell r="A418" t="str">
            <v>493907 - FR-LTD TAX PI &amp; RFND 09 DS</v>
          </cell>
          <cell r="B418" t="str">
            <v>OTHER FINANCING SOURCES</v>
          </cell>
          <cell r="C418" t="str">
            <v>INTERFUND TRFR IN</v>
          </cell>
        </row>
        <row r="419">
          <cell r="A419" t="str">
            <v>493908 - FR-LTD TAX PI BAB 09B DS</v>
          </cell>
          <cell r="B419" t="str">
            <v>OTHER FINANCING SOURCES</v>
          </cell>
          <cell r="C419" t="str">
            <v>INTERFUND TRFR IN</v>
          </cell>
        </row>
        <row r="420">
          <cell r="A420" t="str">
            <v>493909 - FR-LTD TAX PI 11 DS</v>
          </cell>
          <cell r="B420" t="str">
            <v>OTHER FINANCING SOURCES</v>
          </cell>
          <cell r="C420" t="str">
            <v>INTERFUND TRFR IN</v>
          </cell>
        </row>
        <row r="421">
          <cell r="A421" t="str">
            <v>493910 - FR-LTD TAX PI &amp; RFND 12 DS</v>
          </cell>
          <cell r="B421" t="str">
            <v>OTHER FINANCING SOURCES</v>
          </cell>
          <cell r="C421" t="str">
            <v>INTERFUND TRFR IN</v>
          </cell>
        </row>
        <row r="422">
          <cell r="A422" t="str">
            <v>493911 - FR-CRIMINAL JUSTICE DS</v>
          </cell>
          <cell r="B422" t="str">
            <v>OTHER FINANCING SOURCES</v>
          </cell>
          <cell r="C422" t="str">
            <v>INTERFUND TRFR IN</v>
          </cell>
        </row>
        <row r="423">
          <cell r="A423" t="str">
            <v>493912 - FR-CAP IMP CO 92 DS</v>
          </cell>
          <cell r="B423" t="str">
            <v>OTHER FINANCING SOURCES</v>
          </cell>
          <cell r="C423" t="str">
            <v>INTERFUND TRFR IN</v>
          </cell>
        </row>
        <row r="424">
          <cell r="A424" t="str">
            <v>493913 - FR-OPEN SPACE DS</v>
          </cell>
          <cell r="B424" t="str">
            <v>OTHER FINANCING SOURCES</v>
          </cell>
          <cell r="C424" t="str">
            <v>INTERFUND TRFR IN</v>
          </cell>
        </row>
        <row r="425">
          <cell r="A425" t="str">
            <v>493914 - FR-COURTHOUSE/JAIL DS</v>
          </cell>
          <cell r="B425" t="str">
            <v>OTHER FINANCING SOURCES</v>
          </cell>
          <cell r="C425" t="str">
            <v>INTERFUND TRFR IN</v>
          </cell>
        </row>
        <row r="426">
          <cell r="A426" t="str">
            <v>493915 - FR-CAP IMP 93 CO DS</v>
          </cell>
          <cell r="B426" t="str">
            <v>OTHER FINANCING SOURCES</v>
          </cell>
          <cell r="C426" t="str">
            <v>INTERFUND TRFR IN</v>
          </cell>
        </row>
        <row r="427">
          <cell r="A427" t="str">
            <v>493916 - FR-CAP IMP 93 COBS DS</v>
          </cell>
          <cell r="B427" t="str">
            <v>OTHER FINANCING SOURCES</v>
          </cell>
          <cell r="C427" t="str">
            <v>INTERFUND TRFR IN</v>
          </cell>
        </row>
        <row r="428">
          <cell r="A428" t="str">
            <v>493917 - FR-JUSTICE CENTER COBS DS</v>
          </cell>
          <cell r="B428" t="str">
            <v>OTHER FINANCING SOURCES</v>
          </cell>
          <cell r="C428" t="str">
            <v>INTERFUND TRFR IN</v>
          </cell>
        </row>
        <row r="429">
          <cell r="A429" t="str">
            <v>493918 - FR-CAP IMP 94 COB DS</v>
          </cell>
          <cell r="B429" t="str">
            <v>OTHER FINANCING SOURCES</v>
          </cell>
          <cell r="C429" t="str">
            <v>INTERFUND TRFR IN</v>
          </cell>
        </row>
        <row r="430">
          <cell r="A430" t="str">
            <v>493919 - FR-CAP IMP 94A COB DS</v>
          </cell>
          <cell r="B430" t="str">
            <v>OTHER FINANCING SOURCES</v>
          </cell>
          <cell r="C430" t="str">
            <v>INTERFUND TRFR IN</v>
          </cell>
        </row>
        <row r="431">
          <cell r="A431" t="str">
            <v>493920 - FR-JUV DETENTION FACL 95 DS</v>
          </cell>
          <cell r="B431" t="str">
            <v>OTHER FINANCING SOURCES</v>
          </cell>
          <cell r="C431" t="str">
            <v>INTERFUND TRFR IN</v>
          </cell>
        </row>
        <row r="432">
          <cell r="A432" t="str">
            <v>493921 - FR-JAIL DEVELOPMENT DS</v>
          </cell>
          <cell r="B432" t="str">
            <v>OTHER FINANCING SOURCES</v>
          </cell>
          <cell r="C432" t="str">
            <v>INTERFUND TRFR IN</v>
          </cell>
        </row>
        <row r="433">
          <cell r="A433" t="str">
            <v>493922 - FR-JAIL IMPROVEMENT DS</v>
          </cell>
          <cell r="B433" t="str">
            <v>OTHER FINANCING SOURCES</v>
          </cell>
          <cell r="C433" t="str">
            <v>INTERFUND TRFR IN</v>
          </cell>
        </row>
        <row r="434">
          <cell r="A434" t="str">
            <v>493923 - FR-LTD TAX PERM IMP 99 DS</v>
          </cell>
          <cell r="B434" t="str">
            <v>OTHER FINANCING SOURCES</v>
          </cell>
          <cell r="C434" t="str">
            <v>INTERFUND TRFR IN</v>
          </cell>
        </row>
        <row r="435">
          <cell r="A435" t="str">
            <v>493924 - FR-LTD TAX PERM IMP 99A DS</v>
          </cell>
          <cell r="B435" t="str">
            <v>OTHER FINANCING SOURCES</v>
          </cell>
          <cell r="C435" t="str">
            <v>INTERFUND TRFR IN</v>
          </cell>
        </row>
        <row r="436">
          <cell r="A436" t="str">
            <v>493925 - FR-LTD TAX PERM IMP 00 DS</v>
          </cell>
          <cell r="B436" t="str">
            <v>OTHER FINANCING SOURCES</v>
          </cell>
          <cell r="C436" t="str">
            <v>INTERFUND TRFR IN</v>
          </cell>
        </row>
        <row r="437">
          <cell r="A437" t="str">
            <v>493926 - FR-LTD TAX PERM IMP 01 DS</v>
          </cell>
          <cell r="B437" t="str">
            <v>OTHER FINANCING SOURCES</v>
          </cell>
          <cell r="C437" t="str">
            <v>INTERFUND TRFR IN</v>
          </cell>
        </row>
        <row r="438">
          <cell r="A438" t="str">
            <v>493927 - FR-UNL TAX ROAD &amp; RFND 04 DS</v>
          </cell>
          <cell r="B438" t="str">
            <v>OTHER FINANCING SOURCES</v>
          </cell>
          <cell r="C438" t="str">
            <v>INTERFUND TRFR IN</v>
          </cell>
        </row>
        <row r="439">
          <cell r="A439" t="str">
            <v>493928 - FR-UNL TAX ROAD &amp; RFND 05 DS</v>
          </cell>
          <cell r="B439" t="str">
            <v>OTHER FINANCING SOURCES</v>
          </cell>
          <cell r="C439" t="str">
            <v>INTERFUND TRFR IN</v>
          </cell>
        </row>
        <row r="440">
          <cell r="A440" t="str">
            <v>493929 - FR-UNL TAX ROAD 06 DS</v>
          </cell>
          <cell r="B440" t="str">
            <v>OTHER FINANCING SOURCES</v>
          </cell>
          <cell r="C440" t="str">
            <v>INTERFUND TRFR IN</v>
          </cell>
        </row>
        <row r="441">
          <cell r="A441" t="str">
            <v>493930 - FR-UNL TAX ROAD &amp; RFND 07 DS</v>
          </cell>
          <cell r="B441" t="str">
            <v>OTHER FINANCING SOURCES</v>
          </cell>
          <cell r="C441" t="str">
            <v>INTERFUND TRFR IN</v>
          </cell>
        </row>
        <row r="442">
          <cell r="A442" t="str">
            <v>493931 - FR-UNL TAX ROAD 08 DS</v>
          </cell>
          <cell r="B442" t="str">
            <v>OTHER FINANCING SOURCES</v>
          </cell>
          <cell r="C442" t="str">
            <v>INTERFUND TRFR IN</v>
          </cell>
        </row>
        <row r="443">
          <cell r="A443" t="str">
            <v>493932 - FR-UNL TAX ROAD &amp; RFND 09  DS</v>
          </cell>
          <cell r="B443" t="str">
            <v>OTHER FINANCING SOURCES</v>
          </cell>
          <cell r="C443" t="str">
            <v>INTERFUND TRFR IN</v>
          </cell>
        </row>
        <row r="444">
          <cell r="A444" t="str">
            <v>493933 - FR-UNL TAX ROAD BAB 09B DS</v>
          </cell>
          <cell r="B444" t="str">
            <v>OTHER FINANCING SOURCES</v>
          </cell>
          <cell r="C444" t="str">
            <v>INTERFUND TRFR IN</v>
          </cell>
        </row>
        <row r="445">
          <cell r="A445" t="str">
            <v>493934 - FR-UNL TAX ROAD 11 DS</v>
          </cell>
          <cell r="B445" t="str">
            <v>OTHER FINANCING SOURCES</v>
          </cell>
          <cell r="C445" t="str">
            <v>INTERFUND TRFR IN</v>
          </cell>
        </row>
        <row r="446">
          <cell r="A446" t="str">
            <v>493935 - FR-UNL TAX ROAD &amp; RFND 12 DS</v>
          </cell>
          <cell r="B446" t="str">
            <v>OTHER FINANCING SOURCES</v>
          </cell>
          <cell r="C446" t="str">
            <v>INTERFUND TRFR IN</v>
          </cell>
        </row>
        <row r="447">
          <cell r="A447" t="str">
            <v>493936 - FR-UNL TAX ROAD DS</v>
          </cell>
          <cell r="B447" t="str">
            <v>OTHER FINANCING SOURCES</v>
          </cell>
          <cell r="C447" t="str">
            <v>INTERFUND TRFR IN</v>
          </cell>
        </row>
        <row r="448">
          <cell r="A448" t="str">
            <v>493937 - FR-UNL TAX ROAD 95 DS</v>
          </cell>
          <cell r="B448" t="str">
            <v>OTHER FINANCING SOURCES</v>
          </cell>
          <cell r="C448" t="str">
            <v>INTERFUND TRFR IN</v>
          </cell>
        </row>
        <row r="449">
          <cell r="A449" t="str">
            <v>493938 - FR-UNL TAX ROAD 99 DS</v>
          </cell>
          <cell r="B449" t="str">
            <v>OTHER FINANCING SOURCES</v>
          </cell>
          <cell r="C449" t="str">
            <v>INTERFUND TRFR IN</v>
          </cell>
        </row>
        <row r="450">
          <cell r="A450" t="str">
            <v>493939 - FR-UNL TAX ROAD 99A DS</v>
          </cell>
          <cell r="B450" t="str">
            <v>OTHER FINANCING SOURCES</v>
          </cell>
          <cell r="C450" t="str">
            <v>INTERFUND TRFR IN</v>
          </cell>
        </row>
        <row r="451">
          <cell r="A451" t="str">
            <v>493940 - FR-UNL TAX ROAD 00 DS</v>
          </cell>
          <cell r="B451" t="str">
            <v>OTHER FINANCING SOURCES</v>
          </cell>
          <cell r="C451" t="str">
            <v>INTERFUND TRFR IN</v>
          </cell>
        </row>
        <row r="452">
          <cell r="A452" t="str">
            <v>493941 - FR-UNL TAX ROAD 01 DS</v>
          </cell>
          <cell r="B452" t="str">
            <v>OTHER FINANCING SOURCES</v>
          </cell>
          <cell r="C452" t="str">
            <v>INTERFUND TRFR IN</v>
          </cell>
        </row>
        <row r="453">
          <cell r="A453" t="str">
            <v>493942 - FR-UNL TAX ROAD 97 DS</v>
          </cell>
          <cell r="B453" t="str">
            <v>OTHER FINANCING SOURCES</v>
          </cell>
          <cell r="C453" t="str">
            <v>INTERFUND TRFR IN</v>
          </cell>
        </row>
        <row r="454">
          <cell r="A454" t="str">
            <v>493943 - FR-TAX NOTES 06 DS</v>
          </cell>
          <cell r="B454" t="str">
            <v>OTHER FINANCING SOURCES</v>
          </cell>
          <cell r="C454" t="str">
            <v>INTERFUND TRFR IN</v>
          </cell>
        </row>
        <row r="455">
          <cell r="A455" t="str">
            <v>493944 - FR-TAX NOTES CAP IMPR 96 DS</v>
          </cell>
          <cell r="B455" t="str">
            <v>OTHER FINANCING SOURCES</v>
          </cell>
          <cell r="C455" t="str">
            <v>INTERFUND TRFR IN</v>
          </cell>
        </row>
        <row r="456">
          <cell r="A456" t="str">
            <v>493945 - FR-TAX NOTES CAP IMPR 01 DS</v>
          </cell>
          <cell r="B456" t="str">
            <v>OTHER FINANCING SOURCES</v>
          </cell>
          <cell r="C456" t="str">
            <v>INTERFUND TRFR IN</v>
          </cell>
        </row>
        <row r="457">
          <cell r="A457" t="str">
            <v>493946 - FR-TAX NOTES 01A DS</v>
          </cell>
          <cell r="B457" t="str">
            <v>OTHER FINANCING SOURCES</v>
          </cell>
          <cell r="C457" t="str">
            <v>INTERFUND TRFR IN</v>
          </cell>
        </row>
        <row r="458">
          <cell r="A458" t="str">
            <v>493947 - FR-TAX NOTES 02 DS</v>
          </cell>
          <cell r="B458" t="str">
            <v>OTHER FINANCING SOURCES</v>
          </cell>
          <cell r="C458" t="str">
            <v>INTERFUND TRFR IN</v>
          </cell>
        </row>
        <row r="459">
          <cell r="A459" t="str">
            <v>493948 - FR-TAX NOTES 04 DS</v>
          </cell>
          <cell r="B459" t="str">
            <v>OTHER FINANCING SOURCES</v>
          </cell>
          <cell r="C459" t="str">
            <v>INTERFUND TRFR IN</v>
          </cell>
        </row>
        <row r="460">
          <cell r="A460" t="str">
            <v>493949 - FR-UNL TAX RFND 11 DS</v>
          </cell>
          <cell r="B460" t="str">
            <v>OTHER FINANCING SOURCES</v>
          </cell>
          <cell r="C460" t="str">
            <v>INTERFUND TRFR IN</v>
          </cell>
        </row>
        <row r="461">
          <cell r="A461" t="str">
            <v>493950 - FR-LTD TAX RFND 11 DS</v>
          </cell>
          <cell r="B461" t="str">
            <v>OTHER FINANCING SOURCES</v>
          </cell>
          <cell r="C461" t="str">
            <v>INTERFUND TRFR IN</v>
          </cell>
        </row>
        <row r="462">
          <cell r="A462" t="str">
            <v>493951 - FR-OPEN SPACE REFUNDING DS</v>
          </cell>
          <cell r="B462" t="str">
            <v>OTHER FINANCING SOURCES</v>
          </cell>
          <cell r="C462" t="str">
            <v>INTERFUND TRFR IN</v>
          </cell>
        </row>
        <row r="463">
          <cell r="A463" t="str">
            <v>493952 - FR-UNL TAX REFUNDNG DS</v>
          </cell>
          <cell r="B463" t="str">
            <v>OTHER FINANCING SOURCES</v>
          </cell>
          <cell r="C463" t="str">
            <v>INTERFUND TRFR IN</v>
          </cell>
        </row>
        <row r="464">
          <cell r="A464" t="str">
            <v>493953 - FR-UNL TAX REFUNDING 93 DS</v>
          </cell>
          <cell r="B464" t="str">
            <v>OTHER FINANCING SOURCES</v>
          </cell>
          <cell r="C464" t="str">
            <v>INTERFUND TRFR IN</v>
          </cell>
        </row>
        <row r="465">
          <cell r="A465" t="str">
            <v>493954 - FR-CRIMINAL JUSTICE RFND DS</v>
          </cell>
          <cell r="B465" t="str">
            <v>OTHER FINANCING SOURCES</v>
          </cell>
          <cell r="C465" t="str">
            <v>INTERFUND TRFR IN</v>
          </cell>
        </row>
        <row r="466">
          <cell r="A466" t="str">
            <v>493955 - FR-UNL TAX RFND 01 DS</v>
          </cell>
          <cell r="B466" t="str">
            <v>OTHER FINANCING SOURCES</v>
          </cell>
          <cell r="C466" t="str">
            <v>INTERFUND TRFR IN</v>
          </cell>
        </row>
        <row r="467">
          <cell r="A467" t="str">
            <v>494001 - FR-LTD TAX PERM IMPROVE 99A</v>
          </cell>
          <cell r="B467" t="str">
            <v>OTHER FINANCING SOURCES</v>
          </cell>
          <cell r="C467" t="str">
            <v>INTERFUND TRFR IN</v>
          </cell>
        </row>
        <row r="468">
          <cell r="A468" t="str">
            <v>494014 - FR-LTD TAX PERM IMP 2012</v>
          </cell>
          <cell r="B468" t="str">
            <v>OTHER FINANCING SOURCES</v>
          </cell>
          <cell r="C468" t="str">
            <v>INTERFUND TRFR IN</v>
          </cell>
        </row>
        <row r="469">
          <cell r="A469" t="str">
            <v>494018 - FR-LTD TAX P/I &amp; RFD 2016</v>
          </cell>
          <cell r="B469" t="str">
            <v>OTHER FINANCING SOURCES</v>
          </cell>
          <cell r="C469" t="str">
            <v>INTERFUND TRFR IN</v>
          </cell>
        </row>
        <row r="470">
          <cell r="A470" t="str">
            <v>494190 - FR-OPEN SPACE BOND</v>
          </cell>
          <cell r="B470" t="str">
            <v>OTHER FINANCING SOURCES</v>
          </cell>
          <cell r="C470" t="str">
            <v>INTERFUND TRFR IN</v>
          </cell>
        </row>
        <row r="471">
          <cell r="A471" t="str">
            <v>494191 - FR-JUV DETENTION FACILITY 95</v>
          </cell>
          <cell r="B471" t="str">
            <v>OTHER FINANCING SOURCES</v>
          </cell>
          <cell r="C471" t="str">
            <v>INTERFUND TRFR IN</v>
          </cell>
        </row>
        <row r="472">
          <cell r="A472" t="str">
            <v>494192 - FR-LTD TAX PERM IMP 99</v>
          </cell>
          <cell r="B472" t="str">
            <v>OTHER FINANCING SOURCES</v>
          </cell>
          <cell r="C472" t="str">
            <v>INTERFUND TRFR IN</v>
          </cell>
        </row>
        <row r="473">
          <cell r="A473" t="str">
            <v>494193 - FR-CAP IMP COB 94A</v>
          </cell>
          <cell r="B473" t="str">
            <v>OTHER FINANCING SOURCES</v>
          </cell>
          <cell r="C473" t="str">
            <v>INTERFUND TRFR IN</v>
          </cell>
        </row>
        <row r="474">
          <cell r="A474" t="str">
            <v>494194 - FR-CAP IMP COB 94</v>
          </cell>
          <cell r="B474" t="str">
            <v>OTHER FINANCING SOURCES</v>
          </cell>
          <cell r="C474" t="str">
            <v>INTERFUND TRFR IN</v>
          </cell>
        </row>
        <row r="475">
          <cell r="A475" t="str">
            <v>494195 - FR-JUSTICE CENTER COBS</v>
          </cell>
          <cell r="B475" t="str">
            <v>OTHER FINANCING SOURCES</v>
          </cell>
          <cell r="C475" t="str">
            <v>INTERFUND TRFR IN</v>
          </cell>
        </row>
        <row r="476">
          <cell r="A476" t="str">
            <v>494196 - FR-CAP IMP COBS 93</v>
          </cell>
          <cell r="B476" t="str">
            <v>OTHER FINANCING SOURCES</v>
          </cell>
          <cell r="C476" t="str">
            <v>INTERFUND TRFR IN</v>
          </cell>
        </row>
        <row r="477">
          <cell r="A477" t="str">
            <v>494197 - FR-CAP IMP CO 93</v>
          </cell>
          <cell r="B477" t="str">
            <v>OTHER FINANCING SOURCES</v>
          </cell>
          <cell r="C477" t="str">
            <v>INTERFUND TRFR IN</v>
          </cell>
        </row>
        <row r="478">
          <cell r="A478" t="str">
            <v>494198 - FR-CAP IMP CO 92</v>
          </cell>
          <cell r="B478" t="str">
            <v>OTHER FINANCING SOURCES</v>
          </cell>
          <cell r="C478" t="str">
            <v>INTERFUND TRFR IN</v>
          </cell>
        </row>
        <row r="479">
          <cell r="A479" t="str">
            <v>494199 - FR-CRIMINAL JUSTICE BOND</v>
          </cell>
          <cell r="B479" t="str">
            <v>OTHER FINANCING SOURCES</v>
          </cell>
          <cell r="C479" t="str">
            <v>INTERFUND TRFR IN</v>
          </cell>
        </row>
        <row r="480">
          <cell r="A480" t="str">
            <v>494213 - FR-UT RD BD 2015</v>
          </cell>
          <cell r="B480" t="str">
            <v>OTHER FINANCING SOURCES</v>
          </cell>
          <cell r="C480" t="str">
            <v>INTERFUND TRFR IN</v>
          </cell>
        </row>
        <row r="481">
          <cell r="A481" t="str">
            <v>494216 - FR-UT ROAD 2019B</v>
          </cell>
          <cell r="B481" t="str">
            <v>OTHER FINANCING SOURCES</v>
          </cell>
          <cell r="C481" t="str">
            <v>INTERFUND TRFR IN</v>
          </cell>
        </row>
        <row r="482">
          <cell r="A482" t="str">
            <v>494599 - FR-TAX NOTES CAP IMP 96</v>
          </cell>
          <cell r="B482" t="str">
            <v>OTHER FINANCING SOURCES</v>
          </cell>
          <cell r="C482" t="str">
            <v>INTERFUND TRFR IN</v>
          </cell>
        </row>
        <row r="483">
          <cell r="A483" t="str">
            <v>495501 - FR-LIABILITY INSURANCE</v>
          </cell>
          <cell r="B483" t="str">
            <v>OTHER FINANCING SOURCES</v>
          </cell>
          <cell r="C483" t="str">
            <v>INTERFUND TRFR IN</v>
          </cell>
        </row>
        <row r="484">
          <cell r="A484" t="str">
            <v>495502 - FR-WORKERS' COMPENSATION INS</v>
          </cell>
          <cell r="B484" t="str">
            <v>OTHER FINANCING SOURCES</v>
          </cell>
          <cell r="C484" t="str">
            <v>INTERFUND TRFR IN</v>
          </cell>
        </row>
        <row r="485">
          <cell r="A485" t="str">
            <v>495504 - FR-UNEMPLOYMENT INSURANCE</v>
          </cell>
          <cell r="B485" t="str">
            <v>OTHER FINANCING SOURCES</v>
          </cell>
          <cell r="C485" t="str">
            <v>INTERFUND TRFR IN</v>
          </cell>
        </row>
        <row r="486">
          <cell r="A486" t="str">
            <v>495505 - FR-INSURANCE CLAIM</v>
          </cell>
          <cell r="B486" t="str">
            <v>OTHER FINANCING SOURCES</v>
          </cell>
          <cell r="C486" t="str">
            <v>INTERFUND TRFR IN</v>
          </cell>
        </row>
        <row r="487">
          <cell r="A487" t="str">
            <v>495990 - FR-ANIMAL SAFETY</v>
          </cell>
          <cell r="B487" t="str">
            <v>OTHER FINANCING SOURCES</v>
          </cell>
          <cell r="C487" t="str">
            <v>INTERFUND TRFR IN</v>
          </cell>
        </row>
        <row r="488">
          <cell r="A488" t="str">
            <v>495999 - FR-CC TOLL ROAD AUTHORITY</v>
          </cell>
          <cell r="B488" t="str">
            <v>OTHER FINANCING SOURCES</v>
          </cell>
          <cell r="C488" t="str">
            <v>INTERFUND TRFR IN</v>
          </cell>
        </row>
        <row r="489">
          <cell r="A489" t="str">
            <v>496050 - FR-JUDICIAL DISTRICT</v>
          </cell>
          <cell r="B489" t="str">
            <v>OTHER FINANCING SOURCES</v>
          </cell>
          <cell r="C489" t="str">
            <v>INTERFUND TRFR IN</v>
          </cell>
        </row>
        <row r="490">
          <cell r="A490" t="str">
            <v>496051 - FR-DP-SC MENTALLY IMPAIRED</v>
          </cell>
          <cell r="B490" t="str">
            <v>OTHER FINANCING SOURCES</v>
          </cell>
          <cell r="C490" t="str">
            <v>INTERFUND TRFR IN</v>
          </cell>
        </row>
        <row r="491">
          <cell r="A491" t="str">
            <v>496052 - FR-CCP-NEW CASELOAD REDUCTN</v>
          </cell>
          <cell r="B491" t="str">
            <v>OTHER FINANCING SOURCES</v>
          </cell>
          <cell r="C491" t="str">
            <v>INTERFUND TRFR IN</v>
          </cell>
        </row>
        <row r="492">
          <cell r="A492" t="str">
            <v>496053 - FR-CCP-COMM CORRECTIONS FAC</v>
          </cell>
          <cell r="B492" t="str">
            <v>OTHER FINANCING SOURCES</v>
          </cell>
          <cell r="C492" t="str">
            <v>INTERFUND TRFR IN</v>
          </cell>
        </row>
        <row r="493">
          <cell r="A493" t="str">
            <v>496054 - FR-CCP-ENCHANCED SUP STRATEG</v>
          </cell>
          <cell r="B493" t="str">
            <v>OTHER FINANCING SOURCES</v>
          </cell>
          <cell r="C493" t="str">
            <v>INTERFUND TRFR IN</v>
          </cell>
        </row>
        <row r="494">
          <cell r="A494" t="str">
            <v>496055 - FR-DP-SC SEX OFFENDER</v>
          </cell>
          <cell r="B494" t="str">
            <v>OTHER FINANCING SOURCES</v>
          </cell>
          <cell r="C494" t="str">
            <v>INTERFUND TRFR IN</v>
          </cell>
        </row>
        <row r="495">
          <cell r="A495" t="str">
            <v>496056 - FR-DP-SC YOUTHFUL OFFENDER</v>
          </cell>
          <cell r="B495" t="str">
            <v>OTHER FINANCING SOURCES</v>
          </cell>
          <cell r="C495" t="str">
            <v>INTERFUND TRFR IN</v>
          </cell>
        </row>
        <row r="496">
          <cell r="A496" t="str">
            <v>496058 - FR-DP-SC SUBSTANCE ABUSE</v>
          </cell>
          <cell r="B496" t="str">
            <v>OTHER FINANCING SOURCES</v>
          </cell>
          <cell r="C496" t="str">
            <v>INTERFUND TRFR IN</v>
          </cell>
        </row>
        <row r="497">
          <cell r="A497" t="str">
            <v>499001 - FR-AG-PAYROLL CLEARING</v>
          </cell>
          <cell r="B497" t="str">
            <v>OTHER FINANCING SOURCES</v>
          </cell>
          <cell r="C497" t="str">
            <v>INTERFUND TRFR IN</v>
          </cell>
        </row>
        <row r="498">
          <cell r="A498" t="str">
            <v>499971 - FR-GASB 34 CONVERSION</v>
          </cell>
          <cell r="B498" t="str">
            <v>OTHER FINANCING SOURCES</v>
          </cell>
          <cell r="C498" t="str">
            <v>INTERFUND TRFR IN</v>
          </cell>
        </row>
        <row r="499">
          <cell r="A499" t="str">
            <v>462036 - RENT-PP-900/DISCO HI-TEC/S-150</v>
          </cell>
          <cell r="B499" t="str">
            <v>INVESTMENT REVENUES</v>
          </cell>
          <cell r="C499" t="str">
            <v>RENTAL REVENUE</v>
          </cell>
        </row>
        <row r="500">
          <cell r="A500" t="str">
            <v>481030 - OTHER-PROCEED LIVESTOCK SALE</v>
          </cell>
          <cell r="B500" t="str">
            <v>OTHER REVENUE</v>
          </cell>
        </row>
        <row r="501">
          <cell r="A501" t="str">
            <v>462036 - RENT-PP-900/S-150</v>
          </cell>
          <cell r="B501" t="str">
            <v>INVESTMENT REVENUES</v>
          </cell>
          <cell r="C501" t="str">
            <v>RENTAL REVENUE</v>
          </cell>
        </row>
      </sheetData>
      <sheetData sheetId="13"/>
      <sheetData sheetId="14"/>
      <sheetData sheetId="15"/>
      <sheetData sheetId="16"/>
      <sheetData sheetId="17"/>
      <sheetData sheetId="18"/>
      <sheetData sheetId="19"/>
      <sheetData sheetId="2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1"/>
      <sheetName val="Appraised Values"/>
      <sheetName val="Start Up Cost of County Court"/>
    </sheetNames>
    <sheetDataSet>
      <sheetData sheetId="0"/>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egories"/>
      <sheetName val="Summary"/>
      <sheetName val="Summary by Improvement Priority"/>
      <sheetName val="Summary by Improvement"/>
      <sheetName val="NEUTRAL"/>
      <sheetName val="MasterList"/>
      <sheetName val="MasterList UPLOAD"/>
      <sheetName val="New Positions"/>
      <sheetName val="Position Changes"/>
      <sheetName val="GRANT Positions"/>
      <sheetName val="HR Grant Rpt 03-2026"/>
      <sheetName val="Personnel UPLOAD"/>
      <sheetName val="New Positions-NOT ON DETAIL"/>
      <sheetName val="Position Counts"/>
      <sheetName val="Grant UPLOAD"/>
      <sheetName val="Approval Table"/>
      <sheetName val="Key"/>
      <sheetName val="Position Samples"/>
      <sheetName val="Acct Beg Table"/>
      <sheetName val="07-29-2026 Detail"/>
      <sheetName val="07-29-2026 Detail PFPMark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2">
          <cell r="B2" t="str">
            <v>0101</v>
          </cell>
          <cell r="C2" t="str">
            <v>COUNTY JUDGE - ADMIN</v>
          </cell>
          <cell r="D2" t="str">
            <v>001-0101-410</v>
          </cell>
          <cell r="E2" t="str">
            <v>0001</v>
          </cell>
          <cell r="F2" t="str">
            <v>01001</v>
          </cell>
          <cell r="G2" t="str">
            <v>01001-0001</v>
          </cell>
          <cell r="H2" t="str">
            <v>COUNTY JUDGE</v>
          </cell>
          <cell r="I2" t="str">
            <v>ADMIN</v>
          </cell>
          <cell r="J2" t="str">
            <v>0001-01001-0001-41-</v>
          </cell>
        </row>
        <row r="3">
          <cell r="B3" t="str">
            <v>0150</v>
          </cell>
          <cell r="C3" t="str">
            <v>COMM COURT - ADMIN</v>
          </cell>
          <cell r="D3" t="str">
            <v>001-0150-410</v>
          </cell>
          <cell r="E3" t="str">
            <v>0001</v>
          </cell>
          <cell r="F3" t="str">
            <v>01050</v>
          </cell>
          <cell r="G3" t="str">
            <v>01050-0001</v>
          </cell>
          <cell r="H3" t="str">
            <v>COMMISSIONERS COURT</v>
          </cell>
          <cell r="I3" t="str">
            <v>ADMIN</v>
          </cell>
          <cell r="J3" t="str">
            <v>0001-01050-0001-41-</v>
          </cell>
        </row>
        <row r="4">
          <cell r="B4" t="str">
            <v>0151</v>
          </cell>
          <cell r="C4" t="str">
            <v>COMM - PRECINCT 1</v>
          </cell>
          <cell r="D4" t="str">
            <v>001-0151-410</v>
          </cell>
          <cell r="E4" t="str">
            <v>0001</v>
          </cell>
          <cell r="F4" t="str">
            <v>01051</v>
          </cell>
          <cell r="G4" t="str">
            <v>01051-0001</v>
          </cell>
          <cell r="H4" t="str">
            <v>COMMISSIONERS COURT PRECINCT 1</v>
          </cell>
          <cell r="I4" t="str">
            <v>ADMIN</v>
          </cell>
          <cell r="J4" t="str">
            <v>0001-01051-0001-41-</v>
          </cell>
        </row>
        <row r="5">
          <cell r="B5" t="str">
            <v>0152</v>
          </cell>
          <cell r="C5" t="str">
            <v>COMM - PRECINCT 2</v>
          </cell>
          <cell r="D5" t="str">
            <v>001-0152-410</v>
          </cell>
          <cell r="E5" t="str">
            <v>0001</v>
          </cell>
          <cell r="F5" t="str">
            <v>01052</v>
          </cell>
          <cell r="G5" t="str">
            <v>01052-0001</v>
          </cell>
          <cell r="H5" t="str">
            <v>COMMISSIONERS COURT PRECINCT 2</v>
          </cell>
          <cell r="I5" t="str">
            <v>ADMIN</v>
          </cell>
          <cell r="J5" t="str">
            <v>0001-01052-0001-41-</v>
          </cell>
        </row>
        <row r="6">
          <cell r="B6" t="str">
            <v>0153</v>
          </cell>
          <cell r="C6" t="str">
            <v>COMM - PRECINCT 3</v>
          </cell>
          <cell r="D6" t="str">
            <v>001-0153-410</v>
          </cell>
          <cell r="E6" t="str">
            <v>0001</v>
          </cell>
          <cell r="F6" t="str">
            <v>01053</v>
          </cell>
          <cell r="G6" t="str">
            <v>01053-0001</v>
          </cell>
          <cell r="H6" t="str">
            <v>COMMISSIONERS COURT PRECINCT 3</v>
          </cell>
          <cell r="I6" t="str">
            <v>ADMIN</v>
          </cell>
          <cell r="J6" t="str">
            <v>0001-01053-0001-41-</v>
          </cell>
        </row>
        <row r="7">
          <cell r="B7" t="str">
            <v>0154</v>
          </cell>
          <cell r="C7" t="str">
            <v>COMM - PRECINCT 4</v>
          </cell>
          <cell r="D7" t="str">
            <v>001-0154-410</v>
          </cell>
          <cell r="E7" t="str">
            <v>0001</v>
          </cell>
          <cell r="F7" t="str">
            <v>01054</v>
          </cell>
          <cell r="G7" t="str">
            <v>01054-0001</v>
          </cell>
          <cell r="H7" t="str">
            <v>COMMISSIONERS COURT PRECINCT 4</v>
          </cell>
          <cell r="I7" t="str">
            <v>ADMIN</v>
          </cell>
          <cell r="J7" t="str">
            <v>0001-01054-0001-41-</v>
          </cell>
        </row>
        <row r="8">
          <cell r="B8" t="str">
            <v>0201</v>
          </cell>
          <cell r="C8" t="str">
            <v>ADMINISTRATIVE SERV-ADMIN</v>
          </cell>
          <cell r="D8" t="str">
            <v>001-0201-411</v>
          </cell>
          <cell r="E8" t="str">
            <v>0001</v>
          </cell>
          <cell r="F8" t="str">
            <v>02001</v>
          </cell>
          <cell r="G8" t="str">
            <v>02001-0001</v>
          </cell>
          <cell r="H8" t="str">
            <v>ADMINISTRATIVE SERVICES</v>
          </cell>
          <cell r="I8" t="str">
            <v>ADMIN</v>
          </cell>
          <cell r="J8" t="str">
            <v>0001-02001-0001-41-</v>
          </cell>
        </row>
        <row r="9">
          <cell r="B9" t="str">
            <v>0213</v>
          </cell>
          <cell r="C9" t="str">
            <v>ADMIN SERVICES - MAGISTRATE DEPT</v>
          </cell>
          <cell r="E9" t="str">
            <v>0001</v>
          </cell>
          <cell r="F9" t="str">
            <v>02013</v>
          </cell>
          <cell r="G9" t="str">
            <v>02013-0001</v>
          </cell>
          <cell r="H9" t="str">
            <v>ADMIN SERVICES-MAGISTRATE DEPT</v>
          </cell>
          <cell r="I9" t="str">
            <v>ADMIN</v>
          </cell>
          <cell r="J9" t="str">
            <v>0001-02013-0001-44-</v>
          </cell>
        </row>
        <row r="10">
          <cell r="B10" t="str">
            <v>0215</v>
          </cell>
          <cell r="C10" t="str">
            <v>ADMIN SERVICES-TEEN COURT</v>
          </cell>
          <cell r="E10" t="str">
            <v>0001</v>
          </cell>
          <cell r="F10" t="str">
            <v>02001</v>
          </cell>
          <cell r="G10" t="str">
            <v>02001-0015</v>
          </cell>
          <cell r="H10" t="str">
            <v>ADMIN SERVICES-JUVENILE CASE MANAGER</v>
          </cell>
          <cell r="I10" t="str">
            <v>ADMIN</v>
          </cell>
          <cell r="J10" t="str">
            <v>0001-02001-0015-41-</v>
          </cell>
        </row>
        <row r="11">
          <cell r="B11" t="str">
            <v>0301</v>
          </cell>
          <cell r="C11" t="str">
            <v>HR - ADMIN</v>
          </cell>
          <cell r="D11" t="str">
            <v>001-0301-412</v>
          </cell>
          <cell r="E11" t="str">
            <v>0001</v>
          </cell>
          <cell r="F11" t="str">
            <v>03001</v>
          </cell>
          <cell r="G11" t="str">
            <v>03001-0001</v>
          </cell>
          <cell r="H11" t="str">
            <v>HUMAN RESOURCES</v>
          </cell>
          <cell r="I11" t="str">
            <v>ADMIN</v>
          </cell>
          <cell r="J11" t="str">
            <v>0001-03001-0001-41-</v>
          </cell>
        </row>
        <row r="12">
          <cell r="B12" t="str">
            <v>0320</v>
          </cell>
          <cell r="C12" t="str">
            <v>RISK MANAGEMENT - ADMIN</v>
          </cell>
          <cell r="D12" t="str">
            <v>001-0320-413</v>
          </cell>
          <cell r="E12" t="str">
            <v>0001</v>
          </cell>
          <cell r="F12" t="str">
            <v>03020</v>
          </cell>
          <cell r="G12" t="str">
            <v>03020-0001</v>
          </cell>
          <cell r="H12" t="str">
            <v>HUMAN RESOURCES RISK MGMT</v>
          </cell>
          <cell r="I12" t="str">
            <v>ADMIN</v>
          </cell>
          <cell r="J12" t="str">
            <v>0001-03020-0001-41-</v>
          </cell>
        </row>
        <row r="13">
          <cell r="B13" t="str">
            <v>0330</v>
          </cell>
          <cell r="C13" t="str">
            <v>HR - CIVIL SERVICE</v>
          </cell>
          <cell r="D13" t="str">
            <v>001-0330-412</v>
          </cell>
          <cell r="E13" t="str">
            <v>0001</v>
          </cell>
          <cell r="F13" t="str">
            <v>03030</v>
          </cell>
          <cell r="G13" t="str">
            <v>03030-0001</v>
          </cell>
          <cell r="H13" t="str">
            <v>HUMAN RESOURCES CIVIL SERVICE</v>
          </cell>
          <cell r="I13" t="str">
            <v>ADMIN</v>
          </cell>
          <cell r="J13" t="str">
            <v>0001-03030-0001-41-</v>
          </cell>
        </row>
        <row r="14">
          <cell r="B14" t="str">
            <v>0401</v>
          </cell>
          <cell r="C14" t="str">
            <v>BUDGET - ADMIN</v>
          </cell>
          <cell r="D14" t="str">
            <v>001-0401-480</v>
          </cell>
          <cell r="E14" t="str">
            <v>0001</v>
          </cell>
          <cell r="F14" t="str">
            <v>04001</v>
          </cell>
          <cell r="G14" t="str">
            <v>04001-0001</v>
          </cell>
          <cell r="H14" t="str">
            <v>BUDGET</v>
          </cell>
          <cell r="I14" t="str">
            <v>ADMIN</v>
          </cell>
          <cell r="J14" t="str">
            <v>0001-04001-0001-48-</v>
          </cell>
        </row>
        <row r="15">
          <cell r="B15" t="str">
            <v>0420</v>
          </cell>
          <cell r="C15" t="str">
            <v>SUPPORT SERVICES - ADMIN</v>
          </cell>
          <cell r="D15" t="str">
            <v>001-0420-411</v>
          </cell>
          <cell r="E15" t="str">
            <v>0001</v>
          </cell>
          <cell r="F15" t="str">
            <v>04020</v>
          </cell>
          <cell r="G15" t="str">
            <v>04020-0001</v>
          </cell>
          <cell r="H15" t="str">
            <v>BUDGET SUPPORT SERVICES</v>
          </cell>
          <cell r="I15" t="str">
            <v>ADMIN</v>
          </cell>
          <cell r="J15" t="str">
            <v>0001-04020-0001-41-</v>
          </cell>
        </row>
        <row r="16">
          <cell r="B16" t="str">
            <v>0501</v>
          </cell>
          <cell r="C16" t="str">
            <v>ELECTIONS-ADMIN</v>
          </cell>
          <cell r="D16" t="str">
            <v>001-0501-411</v>
          </cell>
          <cell r="E16" t="str">
            <v>0001</v>
          </cell>
          <cell r="F16" t="str">
            <v>05001</v>
          </cell>
          <cell r="G16" t="str">
            <v>05001-0001</v>
          </cell>
          <cell r="H16" t="str">
            <v>ELECTIONS</v>
          </cell>
          <cell r="I16" t="str">
            <v>ADMIN</v>
          </cell>
          <cell r="J16" t="str">
            <v>0001-05001-0001-41-</v>
          </cell>
        </row>
        <row r="17">
          <cell r="B17" t="str">
            <v>0601</v>
          </cell>
          <cell r="C17" t="str">
            <v>IT-ADMIN</v>
          </cell>
          <cell r="D17" t="str">
            <v>001-0601-414</v>
          </cell>
          <cell r="E17" t="str">
            <v>0001</v>
          </cell>
          <cell r="F17" t="str">
            <v>06001</v>
          </cell>
          <cell r="G17" t="str">
            <v>06001-0001</v>
          </cell>
          <cell r="H17" t="str">
            <v>INFORMATION TECHNOLOGY</v>
          </cell>
          <cell r="I17" t="str">
            <v>ADMIN</v>
          </cell>
          <cell r="J17" t="str">
            <v>0001-06001-0001-41-</v>
          </cell>
        </row>
        <row r="18">
          <cell r="B18" t="str">
            <v>0620</v>
          </cell>
          <cell r="C18" t="str">
            <v>TELECOM - ADMIN</v>
          </cell>
          <cell r="D18" t="str">
            <v>001-0620-414</v>
          </cell>
          <cell r="E18" t="str">
            <v>0001</v>
          </cell>
          <cell r="F18" t="str">
            <v>06020</v>
          </cell>
          <cell r="G18" t="str">
            <v>06020-0001</v>
          </cell>
          <cell r="H18" t="str">
            <v>IT-TELECOM</v>
          </cell>
          <cell r="I18" t="str">
            <v>ADMIN</v>
          </cell>
          <cell r="J18" t="str">
            <v>0001-06020-0001-41-</v>
          </cell>
        </row>
        <row r="19">
          <cell r="B19" t="str">
            <v>0630</v>
          </cell>
          <cell r="C19" t="str">
            <v>RECORDS - ADMIN</v>
          </cell>
          <cell r="D19" t="str">
            <v>001-0630-411</v>
          </cell>
          <cell r="E19" t="str">
            <v>0001</v>
          </cell>
          <cell r="F19" t="str">
            <v>06030</v>
          </cell>
          <cell r="G19" t="str">
            <v>06030-0001</v>
          </cell>
          <cell r="H19" t="str">
            <v>INFORMATION TECHNOLOGY RECORDS</v>
          </cell>
          <cell r="I19" t="str">
            <v>ADMIN</v>
          </cell>
          <cell r="J19" t="str">
            <v>0001-06030-0001-41-</v>
          </cell>
        </row>
        <row r="20">
          <cell r="B20" t="str">
            <v>0640</v>
          </cell>
          <cell r="C20" t="str">
            <v>ERP-ADMIN</v>
          </cell>
          <cell r="D20" t="str">
            <v>001-0640-414</v>
          </cell>
          <cell r="E20" t="str">
            <v>0001</v>
          </cell>
          <cell r="F20" t="str">
            <v>06040</v>
          </cell>
          <cell r="G20" t="str">
            <v>06040-0001</v>
          </cell>
          <cell r="H20" t="str">
            <v>INFORMATION TECHNOLOGY ERP</v>
          </cell>
          <cell r="I20" t="str">
            <v>ADMIN</v>
          </cell>
          <cell r="J20" t="str">
            <v>0001-06040-0001-41-</v>
          </cell>
        </row>
        <row r="21">
          <cell r="B21" t="str">
            <v>0650</v>
          </cell>
          <cell r="C21" t="str">
            <v>GIS-ADMIN</v>
          </cell>
          <cell r="D21" t="str">
            <v>001-0650-648</v>
          </cell>
          <cell r="E21" t="str">
            <v>0001</v>
          </cell>
          <cell r="F21" t="str">
            <v>06050</v>
          </cell>
          <cell r="G21" t="str">
            <v>06050-0001</v>
          </cell>
          <cell r="H21" t="str">
            <v>INFORMATION TECHNOLOGY GIS</v>
          </cell>
          <cell r="I21" t="str">
            <v>ADMIN</v>
          </cell>
          <cell r="J21" t="str">
            <v>0001-06050-0001-64-</v>
          </cell>
        </row>
        <row r="22">
          <cell r="B22" t="str">
            <v>0701</v>
          </cell>
          <cell r="C22" t="str">
            <v>VETERAN - ADMIN</v>
          </cell>
          <cell r="D22" t="str">
            <v>001-0701-411</v>
          </cell>
          <cell r="E22" t="str">
            <v>0001</v>
          </cell>
          <cell r="F22" t="str">
            <v>07001</v>
          </cell>
          <cell r="G22" t="str">
            <v>07001-0001</v>
          </cell>
          <cell r="H22" t="str">
            <v>VETERAN SERVICES</v>
          </cell>
          <cell r="I22" t="str">
            <v>ADMIN</v>
          </cell>
          <cell r="J22" t="str">
            <v>0001-07001-0001-41-</v>
          </cell>
        </row>
        <row r="23">
          <cell r="B23" t="str">
            <v>0801</v>
          </cell>
          <cell r="C23" t="str">
            <v>COUNTY CLERK-ADMIN</v>
          </cell>
          <cell r="D23" t="str">
            <v>001-0801-411</v>
          </cell>
          <cell r="E23" t="str">
            <v>0001</v>
          </cell>
          <cell r="F23" t="str">
            <v>08001</v>
          </cell>
          <cell r="G23" t="str">
            <v>08001-0001</v>
          </cell>
          <cell r="H23" t="str">
            <v>COUNTY CLERK</v>
          </cell>
          <cell r="I23" t="str">
            <v>ADMIN</v>
          </cell>
          <cell r="J23" t="str">
            <v>0001-08001-0001-41-</v>
          </cell>
        </row>
        <row r="24">
          <cell r="B24" t="str">
            <v>0820</v>
          </cell>
          <cell r="C24" t="str">
            <v>CCLC-ADMIN</v>
          </cell>
          <cell r="D24" t="str">
            <v>001-0820-443</v>
          </cell>
          <cell r="E24" t="str">
            <v>0001</v>
          </cell>
          <cell r="F24" t="str">
            <v>08020</v>
          </cell>
          <cell r="G24" t="str">
            <v>08020-0001</v>
          </cell>
          <cell r="H24" t="str">
            <v>COUNTY COURT AT LAW CLERKS</v>
          </cell>
          <cell r="I24" t="str">
            <v>ADMIN</v>
          </cell>
          <cell r="J24" t="str">
            <v>0001-08020-0001-44-</v>
          </cell>
        </row>
        <row r="25">
          <cell r="B25" t="str">
            <v>0821</v>
          </cell>
          <cell r="C25" t="str">
            <v>IND DEF COORD-ADMIN</v>
          </cell>
          <cell r="D25" t="str">
            <v>001-0821-721</v>
          </cell>
          <cell r="E25" t="str">
            <v>0001</v>
          </cell>
          <cell r="F25" t="str">
            <v>08020</v>
          </cell>
          <cell r="G25" t="str">
            <v>08020-0020</v>
          </cell>
          <cell r="H25" t="str">
            <v>COUNTY COURT AT LAW CLERKS</v>
          </cell>
          <cell r="I25" t="str">
            <v>IND DEF COORD</v>
          </cell>
          <cell r="J25" t="str">
            <v>0001-08020-0020-72-</v>
          </cell>
        </row>
        <row r="26">
          <cell r="B26" t="str">
            <v>0822</v>
          </cell>
          <cell r="C26" t="str">
            <v>COURT COLLECTIONS</v>
          </cell>
          <cell r="D26" t="str">
            <v>001-0822-483</v>
          </cell>
          <cell r="E26" t="str">
            <v>0001</v>
          </cell>
          <cell r="F26" t="str">
            <v>08020</v>
          </cell>
          <cell r="G26" t="str">
            <v>08020-0019</v>
          </cell>
          <cell r="H26" t="str">
            <v>COUNTY COURT AT LAW CLERKS</v>
          </cell>
          <cell r="I26" t="str">
            <v>COLLECTIONS</v>
          </cell>
          <cell r="J26" t="str">
            <v>0001-08020-0019-48-</v>
          </cell>
        </row>
        <row r="27">
          <cell r="B27" t="str">
            <v>0830</v>
          </cell>
          <cell r="C27" t="str">
            <v>TREASURY - ADMIN</v>
          </cell>
          <cell r="D27" t="str">
            <v>001-0830-483</v>
          </cell>
          <cell r="E27" t="str">
            <v>0001</v>
          </cell>
          <cell r="F27" t="str">
            <v>08030</v>
          </cell>
          <cell r="G27" t="str">
            <v>08030-0001</v>
          </cell>
          <cell r="H27" t="str">
            <v>COUNTY CLERK TREASURY</v>
          </cell>
          <cell r="I27" t="str">
            <v>ADMIN</v>
          </cell>
          <cell r="J27" t="str">
            <v>0001-08030-0001-48-</v>
          </cell>
        </row>
        <row r="28">
          <cell r="B28" t="str">
            <v>0860</v>
          </cell>
          <cell r="C28" t="str">
            <v>PROBATE/MENTAL CLERKS</v>
          </cell>
          <cell r="D28" t="str">
            <v>001-0860-443</v>
          </cell>
          <cell r="E28" t="str">
            <v>0001</v>
          </cell>
          <cell r="F28" t="str">
            <v>08060</v>
          </cell>
          <cell r="G28" t="str">
            <v>08060-0001</v>
          </cell>
          <cell r="H28" t="str">
            <v>COUNTY CLERK PROBATE/MENTAL</v>
          </cell>
          <cell r="I28" t="str">
            <v>ADMIN</v>
          </cell>
          <cell r="J28" t="str">
            <v>0001-08060-0001-44-</v>
          </cell>
        </row>
        <row r="29">
          <cell r="B29" t="str">
            <v>0901</v>
          </cell>
          <cell r="C29" t="str">
            <v>ME-ADMIN</v>
          </cell>
          <cell r="D29" t="str">
            <v>001-0901-648</v>
          </cell>
          <cell r="E29" t="str">
            <v>0001</v>
          </cell>
          <cell r="F29" t="str">
            <v>09001</v>
          </cell>
          <cell r="G29" t="str">
            <v>09001-0001</v>
          </cell>
          <cell r="H29" t="str">
            <v>MEDICAL EXAMINER</v>
          </cell>
          <cell r="I29" t="str">
            <v>ADMIN</v>
          </cell>
          <cell r="J29" t="str">
            <v>0001-09001-0001-64-</v>
          </cell>
        </row>
        <row r="30">
          <cell r="B30" t="str">
            <v>1001</v>
          </cell>
          <cell r="C30" t="str">
            <v>NON-DEPARTMENTAL</v>
          </cell>
          <cell r="D30" t="str">
            <v>001-1001-411</v>
          </cell>
          <cell r="E30" t="str">
            <v>0001</v>
          </cell>
          <cell r="F30" t="str">
            <v>10001</v>
          </cell>
          <cell r="G30" t="str">
            <v>10001-0001</v>
          </cell>
          <cell r="H30" t="str">
            <v>NON-DEPARTMENTAL</v>
          </cell>
          <cell r="I30" t="str">
            <v>ADMIN</v>
          </cell>
          <cell r="J30" t="str">
            <v>0001-10001-0001-41-</v>
          </cell>
        </row>
        <row r="31">
          <cell r="B31" t="str">
            <v>2001</v>
          </cell>
          <cell r="C31" t="str">
            <v>COUNTY COURTS-SHARED</v>
          </cell>
          <cell r="E31" t="str">
            <v>0001</v>
          </cell>
          <cell r="F31">
            <v>20000</v>
          </cell>
          <cell r="G31" t="str">
            <v>20000-0009</v>
          </cell>
          <cell r="H31" t="str">
            <v>COUNTY COURTS-SHARED</v>
          </cell>
          <cell r="I31" t="str">
            <v>SHARED</v>
          </cell>
          <cell r="J31" t="str">
            <v>0001-20000-0009-44-</v>
          </cell>
        </row>
        <row r="32">
          <cell r="B32" t="str">
            <v>2010</v>
          </cell>
          <cell r="C32" t="str">
            <v>CCL1-ADMIN</v>
          </cell>
          <cell r="D32" t="str">
            <v>001-2010-442</v>
          </cell>
          <cell r="E32" t="str">
            <v>0001</v>
          </cell>
          <cell r="F32">
            <v>20010</v>
          </cell>
          <cell r="G32" t="str">
            <v>20010-0001</v>
          </cell>
          <cell r="H32" t="str">
            <v>COUNTY COURT AT LAW 1</v>
          </cell>
          <cell r="I32" t="str">
            <v>ADMIN</v>
          </cell>
          <cell r="J32" t="str">
            <v>0001-20010-0001-44-</v>
          </cell>
        </row>
        <row r="33">
          <cell r="B33" t="str">
            <v>2020</v>
          </cell>
          <cell r="C33" t="str">
            <v>CCL2-ADMIN</v>
          </cell>
          <cell r="D33" t="str">
            <v>001-2020-442</v>
          </cell>
          <cell r="E33" t="str">
            <v>0001</v>
          </cell>
          <cell r="F33">
            <v>20020</v>
          </cell>
          <cell r="G33" t="str">
            <v>20020-0001</v>
          </cell>
          <cell r="H33" t="str">
            <v>COUNTY COURT AT LAW 2</v>
          </cell>
          <cell r="I33" t="str">
            <v>ADMIN</v>
          </cell>
          <cell r="J33" t="str">
            <v>0001-20020-0001-44-</v>
          </cell>
        </row>
        <row r="34">
          <cell r="B34" t="str">
            <v>2030</v>
          </cell>
          <cell r="C34" t="str">
            <v>CCL3-ADMIN</v>
          </cell>
          <cell r="D34" t="str">
            <v>001-2030-442</v>
          </cell>
          <cell r="E34" t="str">
            <v>0001</v>
          </cell>
          <cell r="F34">
            <v>20030</v>
          </cell>
          <cell r="G34" t="str">
            <v>20030-0001</v>
          </cell>
          <cell r="H34" t="str">
            <v>COUNTY COURT AT LAW 3</v>
          </cell>
          <cell r="I34" t="str">
            <v>ADMIN</v>
          </cell>
          <cell r="J34" t="str">
            <v>0001-20030-0001-44-</v>
          </cell>
        </row>
        <row r="35">
          <cell r="B35" t="str">
            <v>2040</v>
          </cell>
          <cell r="C35" t="str">
            <v>CCL4-ADMIN</v>
          </cell>
          <cell r="D35" t="str">
            <v>001-2040-442</v>
          </cell>
          <cell r="E35" t="str">
            <v>0001</v>
          </cell>
          <cell r="F35">
            <v>20040</v>
          </cell>
          <cell r="G35" t="str">
            <v>20040-0001</v>
          </cell>
          <cell r="H35" t="str">
            <v>COUNTY COURT AT LAW 4</v>
          </cell>
          <cell r="I35" t="str">
            <v>ADMIN</v>
          </cell>
          <cell r="J35" t="str">
            <v>0001-20040-0001-44-</v>
          </cell>
        </row>
        <row r="36">
          <cell r="B36" t="str">
            <v>2050</v>
          </cell>
          <cell r="C36" t="str">
            <v>CCL5-ADMIN</v>
          </cell>
          <cell r="D36" t="str">
            <v>001-2050-442</v>
          </cell>
          <cell r="E36" t="str">
            <v>0001</v>
          </cell>
          <cell r="F36">
            <v>20050</v>
          </cell>
          <cell r="G36" t="str">
            <v>20050-0001</v>
          </cell>
          <cell r="H36" t="str">
            <v>COUNTY COURT AT LAW 5</v>
          </cell>
          <cell r="I36" t="str">
            <v>ADMIN</v>
          </cell>
          <cell r="J36" t="str">
            <v>0001-20050-0001-44-</v>
          </cell>
        </row>
        <row r="37">
          <cell r="B37" t="str">
            <v>2060</v>
          </cell>
          <cell r="C37" t="str">
            <v>CCL6-ADMIN</v>
          </cell>
          <cell r="D37" t="str">
            <v>001-2060-442</v>
          </cell>
          <cell r="E37" t="str">
            <v>0001</v>
          </cell>
          <cell r="F37">
            <v>20060</v>
          </cell>
          <cell r="G37" t="str">
            <v>20060-0001</v>
          </cell>
          <cell r="H37" t="str">
            <v>COUNTY COURT AT LAW 6</v>
          </cell>
          <cell r="I37" t="str">
            <v>ADMIN</v>
          </cell>
          <cell r="J37" t="str">
            <v>0001-20060-0001-44-</v>
          </cell>
        </row>
        <row r="38">
          <cell r="B38" t="str">
            <v>2070</v>
          </cell>
          <cell r="C38" t="str">
            <v>CCL7-ADMIN</v>
          </cell>
          <cell r="D38" t="str">
            <v>001-2070-442</v>
          </cell>
          <cell r="E38" t="str">
            <v>0001</v>
          </cell>
          <cell r="F38">
            <v>20070</v>
          </cell>
          <cell r="G38" t="str">
            <v>20070-0001</v>
          </cell>
          <cell r="H38" t="str">
            <v>COUNTY COURT AT LAW 7</v>
          </cell>
          <cell r="I38" t="str">
            <v>ADMIN</v>
          </cell>
          <cell r="J38" t="str">
            <v>0001-20070-0001-44-</v>
          </cell>
        </row>
        <row r="39">
          <cell r="B39" t="str">
            <v>2180</v>
          </cell>
          <cell r="C39" t="str">
            <v>PROBATE-ADMIN</v>
          </cell>
          <cell r="D39" t="str">
            <v>001-2180-442</v>
          </cell>
          <cell r="E39" t="str">
            <v>0001</v>
          </cell>
          <cell r="F39">
            <v>21099</v>
          </cell>
          <cell r="G39" t="str">
            <v>21099-0001</v>
          </cell>
          <cell r="H39" t="str">
            <v>COUNTY COURTS PROBATE</v>
          </cell>
          <cell r="I39" t="str">
            <v>ADMIN</v>
          </cell>
          <cell r="J39" t="str">
            <v>0001-21099-0001-44-</v>
          </cell>
        </row>
        <row r="40">
          <cell r="B40" t="str">
            <v>2301</v>
          </cell>
          <cell r="C40" t="str">
            <v>DIST CLERK-ADMIN</v>
          </cell>
          <cell r="D40" t="str">
            <v>001-2301-441</v>
          </cell>
          <cell r="E40" t="str">
            <v>0001</v>
          </cell>
          <cell r="F40">
            <v>23001</v>
          </cell>
          <cell r="G40" t="str">
            <v>23001-0001</v>
          </cell>
          <cell r="H40" t="str">
            <v>DISTRICT CLERK</v>
          </cell>
          <cell r="I40" t="str">
            <v>ADMIN</v>
          </cell>
          <cell r="J40" t="str">
            <v>0001-23001-0001-44-</v>
          </cell>
        </row>
        <row r="41">
          <cell r="B41" t="str">
            <v>2302</v>
          </cell>
          <cell r="C41" t="str">
            <v>PASSPORT</v>
          </cell>
          <cell r="D41" t="str">
            <v>001-2302-415</v>
          </cell>
          <cell r="E41" t="str">
            <v>0001</v>
          </cell>
          <cell r="F41">
            <v>23001</v>
          </cell>
          <cell r="G41" t="str">
            <v>23001-0025</v>
          </cell>
          <cell r="H41" t="str">
            <v>DISTRICT CLERK</v>
          </cell>
          <cell r="I41" t="str">
            <v>PASSPORT</v>
          </cell>
          <cell r="J41" t="str">
            <v>0001-23001-0025-41-</v>
          </cell>
        </row>
        <row r="42">
          <cell r="B42" t="str">
            <v>2350</v>
          </cell>
          <cell r="C42" t="str">
            <v>DIST CLERK-MAGISTRATE</v>
          </cell>
          <cell r="E42" t="str">
            <v>0001</v>
          </cell>
          <cell r="F42">
            <v>23050</v>
          </cell>
          <cell r="G42" t="str">
            <v>23050-0001</v>
          </cell>
          <cell r="H42" t="str">
            <v>DISTRICT CLERK</v>
          </cell>
          <cell r="I42" t="str">
            <v>MAGISTRATE</v>
          </cell>
          <cell r="J42" t="str">
            <v>0001-23050-0001-44-</v>
          </cell>
        </row>
        <row r="43">
          <cell r="B43" t="str">
            <v>2330</v>
          </cell>
          <cell r="C43" t="str">
            <v>JURY MGMT-ADMIN</v>
          </cell>
          <cell r="D43" t="str">
            <v>001-2330-441</v>
          </cell>
          <cell r="E43" t="str">
            <v>0001</v>
          </cell>
          <cell r="F43">
            <v>23030</v>
          </cell>
          <cell r="G43" t="str">
            <v>23030-0001</v>
          </cell>
          <cell r="H43" t="str">
            <v>DISTRICT CLERK JURY MANAGEMENT</v>
          </cell>
          <cell r="I43" t="str">
            <v>ADMIN</v>
          </cell>
          <cell r="J43" t="str">
            <v>0001-23030-0001-44-</v>
          </cell>
        </row>
        <row r="44">
          <cell r="B44" t="str">
            <v>2532</v>
          </cell>
          <cell r="C44" t="str">
            <v>GRANT-VETERANS COURT</v>
          </cell>
          <cell r="D44" t="str">
            <v>108-2532-440</v>
          </cell>
          <cell r="E44">
            <v>2580</v>
          </cell>
          <cell r="F44">
            <v>25296</v>
          </cell>
          <cell r="G44" t="str">
            <v>25296-9096</v>
          </cell>
          <cell r="H44" t="str">
            <v>STATE GRANTS-25296 296TH DISTRICT COURT</v>
          </cell>
          <cell r="I44" t="str">
            <v>GRANT-TVC VETERANS COURT</v>
          </cell>
          <cell r="J44" t="str">
            <v>2580-25296-9096-44-</v>
          </cell>
        </row>
        <row r="45">
          <cell r="B45" t="str">
            <v>2534</v>
          </cell>
          <cell r="C45" t="str">
            <v>GRANT-VALOR</v>
          </cell>
          <cell r="D45" t="str">
            <v>108-2534-440</v>
          </cell>
          <cell r="E45">
            <v>2580</v>
          </cell>
          <cell r="F45">
            <v>25296</v>
          </cell>
          <cell r="G45" t="str">
            <v>25296-9167</v>
          </cell>
          <cell r="H45" t="str">
            <v>STATE GRANTS-25296 296TH DISTRICT COURT</v>
          </cell>
          <cell r="I45" t="str">
            <v>GRANT-TVC VALOR</v>
          </cell>
          <cell r="J45" t="str">
            <v>2580-25296-9167-44-</v>
          </cell>
        </row>
        <row r="46">
          <cell r="B46" t="str">
            <v>2401</v>
          </cell>
          <cell r="C46" t="str">
            <v>JP-SHARED</v>
          </cell>
          <cell r="D46" t="str">
            <v>001-2401-444</v>
          </cell>
          <cell r="E46" t="str">
            <v>0001</v>
          </cell>
          <cell r="F46">
            <v>24000</v>
          </cell>
          <cell r="G46" t="str">
            <v>24000-0009</v>
          </cell>
          <cell r="H46" t="str">
            <v>JP-SHARED</v>
          </cell>
          <cell r="I46" t="str">
            <v>SHARED</v>
          </cell>
          <cell r="J46" t="str">
            <v>0001-24000-0009-44-</v>
          </cell>
        </row>
        <row r="47">
          <cell r="B47" t="str">
            <v>2410</v>
          </cell>
          <cell r="C47" t="str">
            <v>JP1-ADMIN</v>
          </cell>
          <cell r="D47" t="str">
            <v>001-2410-444</v>
          </cell>
          <cell r="E47" t="str">
            <v>0001</v>
          </cell>
          <cell r="F47">
            <v>24010</v>
          </cell>
          <cell r="G47" t="str">
            <v>24010-0001</v>
          </cell>
          <cell r="H47" t="str">
            <v>JUSTICE OF THE PEACE PCT1</v>
          </cell>
          <cell r="I47" t="str">
            <v>ADMIN</v>
          </cell>
          <cell r="J47" t="str">
            <v>0001-24010-0001-44-</v>
          </cell>
        </row>
        <row r="48">
          <cell r="B48" t="str">
            <v>2420</v>
          </cell>
          <cell r="C48" t="str">
            <v>JP2-ADMIN</v>
          </cell>
          <cell r="D48" t="str">
            <v>001-2420-444</v>
          </cell>
          <cell r="E48" t="str">
            <v>0001</v>
          </cell>
          <cell r="F48">
            <v>24020</v>
          </cell>
          <cell r="G48" t="str">
            <v>24020-0001</v>
          </cell>
          <cell r="H48" t="str">
            <v>JUSTICE OF THE PEACE PCT2</v>
          </cell>
          <cell r="I48" t="str">
            <v>ADMIN</v>
          </cell>
          <cell r="J48" t="str">
            <v>0001-24020-0001-44-</v>
          </cell>
        </row>
        <row r="49">
          <cell r="B49" t="str">
            <v>2430</v>
          </cell>
          <cell r="C49" t="str">
            <v>JP3-1-ADMIN</v>
          </cell>
          <cell r="D49" t="str">
            <v>001-2430-444</v>
          </cell>
          <cell r="E49" t="str">
            <v>0001</v>
          </cell>
          <cell r="F49">
            <v>24031</v>
          </cell>
          <cell r="G49" t="str">
            <v>24031-0001</v>
          </cell>
          <cell r="H49" t="str">
            <v>JUSTICE OF THE PEACE PCT3-1</v>
          </cell>
          <cell r="I49" t="str">
            <v>ADMIN</v>
          </cell>
          <cell r="J49" t="str">
            <v>0001-24031-0001-44-</v>
          </cell>
        </row>
        <row r="50">
          <cell r="B50" t="str">
            <v>2433</v>
          </cell>
          <cell r="C50" t="str">
            <v>JP3-ADMIN</v>
          </cell>
          <cell r="D50" t="str">
            <v>001-2430-444</v>
          </cell>
          <cell r="E50" t="str">
            <v>0001</v>
          </cell>
          <cell r="F50">
            <v>24030</v>
          </cell>
          <cell r="G50" t="str">
            <v>24030-0001</v>
          </cell>
          <cell r="H50" t="str">
            <v>JUSTICE OF THE PEACE PCT3</v>
          </cell>
          <cell r="I50" t="str">
            <v>ADMIN</v>
          </cell>
          <cell r="J50" t="str">
            <v>0001-24030-0001-44-</v>
          </cell>
        </row>
        <row r="51">
          <cell r="B51" t="str">
            <v>2440</v>
          </cell>
          <cell r="C51" t="str">
            <v>JP4-ADMIN</v>
          </cell>
          <cell r="D51" t="str">
            <v>001-2440-444</v>
          </cell>
          <cell r="E51" t="str">
            <v>0001</v>
          </cell>
          <cell r="F51">
            <v>24040</v>
          </cell>
          <cell r="G51" t="str">
            <v>24040-0001</v>
          </cell>
          <cell r="H51" t="str">
            <v>JUSTICE OF THE PEACE PCT4</v>
          </cell>
          <cell r="I51" t="str">
            <v>ADMIN</v>
          </cell>
          <cell r="J51" t="str">
            <v>0001-24040-0001-44-</v>
          </cell>
        </row>
        <row r="52">
          <cell r="B52" t="str">
            <v>2450</v>
          </cell>
          <cell r="C52" t="str">
            <v>JP3-2 ADMIN</v>
          </cell>
          <cell r="D52" t="str">
            <v>001-2450-444</v>
          </cell>
          <cell r="E52" t="str">
            <v>0001</v>
          </cell>
          <cell r="F52">
            <v>24032</v>
          </cell>
          <cell r="G52" t="str">
            <v>24032-0001</v>
          </cell>
          <cell r="H52" t="str">
            <v>JUSTICES OF THE PEACE 3-2</v>
          </cell>
          <cell r="I52" t="str">
            <v>ADMIN</v>
          </cell>
          <cell r="J52" t="str">
            <v>0001-24032-0001-44-</v>
          </cell>
        </row>
        <row r="53">
          <cell r="B53" t="str">
            <v>2501</v>
          </cell>
          <cell r="C53" t="str">
            <v>DIST CT-SHARED</v>
          </cell>
          <cell r="D53" t="str">
            <v>001-2501-440</v>
          </cell>
          <cell r="E53" t="str">
            <v>0001</v>
          </cell>
          <cell r="F53">
            <v>25000</v>
          </cell>
          <cell r="G53" t="str">
            <v>25000-0009</v>
          </cell>
          <cell r="H53" t="str">
            <v>DISTRICT COURTS-SHARED</v>
          </cell>
          <cell r="I53" t="str">
            <v>SHARED</v>
          </cell>
          <cell r="J53" t="str">
            <v>0001-25000-0009-44-</v>
          </cell>
        </row>
        <row r="54">
          <cell r="B54" t="str">
            <v>2510</v>
          </cell>
          <cell r="C54" t="str">
            <v>199TH DC-ADMIN</v>
          </cell>
          <cell r="D54" t="str">
            <v>001-2510-440</v>
          </cell>
          <cell r="E54" t="str">
            <v>0001</v>
          </cell>
          <cell r="F54">
            <v>25199</v>
          </cell>
          <cell r="G54" t="str">
            <v>25199-0001</v>
          </cell>
          <cell r="H54" t="str">
            <v>199TH DISTRICT COURT</v>
          </cell>
          <cell r="I54" t="str">
            <v>ADMIN</v>
          </cell>
          <cell r="J54" t="str">
            <v>0001-25199-0001-44-</v>
          </cell>
        </row>
        <row r="55">
          <cell r="B55" t="str">
            <v>2520</v>
          </cell>
          <cell r="C55" t="str">
            <v>219TH DC-ADMIN</v>
          </cell>
          <cell r="D55" t="str">
            <v>001-2520-440</v>
          </cell>
          <cell r="E55" t="str">
            <v>0001</v>
          </cell>
          <cell r="F55">
            <v>25219</v>
          </cell>
          <cell r="G55" t="str">
            <v>25219-0001</v>
          </cell>
          <cell r="H55" t="str">
            <v>219TH DISTRICT COURT</v>
          </cell>
          <cell r="I55" t="str">
            <v>ADMIN</v>
          </cell>
          <cell r="J55" t="str">
            <v>0001-25219-0001-44-</v>
          </cell>
        </row>
        <row r="56">
          <cell r="B56" t="str">
            <v>2530</v>
          </cell>
          <cell r="C56" t="str">
            <v>296TH DC-ADMIN</v>
          </cell>
          <cell r="D56" t="str">
            <v>001-2530-440</v>
          </cell>
          <cell r="E56" t="str">
            <v>0001</v>
          </cell>
          <cell r="F56">
            <v>25296</v>
          </cell>
          <cell r="G56" t="str">
            <v>25296-0001</v>
          </cell>
          <cell r="H56" t="str">
            <v>296TH DISTRICT COURT</v>
          </cell>
          <cell r="I56" t="str">
            <v>ADMIN</v>
          </cell>
          <cell r="J56" t="str">
            <v>0001-25296-0001-44-</v>
          </cell>
        </row>
        <row r="57">
          <cell r="B57" t="str">
            <v>2540</v>
          </cell>
          <cell r="C57" t="str">
            <v>366TH DC-ADMIN</v>
          </cell>
          <cell r="D57" t="str">
            <v>001-2540-440</v>
          </cell>
          <cell r="E57" t="str">
            <v>0001</v>
          </cell>
          <cell r="F57">
            <v>25366</v>
          </cell>
          <cell r="G57" t="str">
            <v>25366-0001</v>
          </cell>
          <cell r="H57" t="str">
            <v>366TH DISTRICT COURT</v>
          </cell>
          <cell r="I57" t="str">
            <v>ADMIN</v>
          </cell>
          <cell r="J57" t="str">
            <v>0001-25366-0001-44-</v>
          </cell>
        </row>
        <row r="58">
          <cell r="B58" t="str">
            <v>2550</v>
          </cell>
          <cell r="C58" t="str">
            <v>380TH DC-ADMIN</v>
          </cell>
          <cell r="D58" t="str">
            <v>001-2550-440</v>
          </cell>
          <cell r="E58" t="str">
            <v>0001</v>
          </cell>
          <cell r="F58">
            <v>25380</v>
          </cell>
          <cell r="G58" t="str">
            <v>25380-0001</v>
          </cell>
          <cell r="H58" t="str">
            <v>380TH DISTRICT COURT</v>
          </cell>
          <cell r="I58" t="str">
            <v>ADMIN</v>
          </cell>
          <cell r="J58" t="str">
            <v>0001-25380-0001-44-</v>
          </cell>
        </row>
        <row r="59">
          <cell r="B59" t="str">
            <v>2560</v>
          </cell>
          <cell r="C59" t="str">
            <v>401ST DC-ADMIN</v>
          </cell>
          <cell r="D59" t="str">
            <v>001-2560-440</v>
          </cell>
          <cell r="E59" t="str">
            <v>0001</v>
          </cell>
          <cell r="F59">
            <v>25401</v>
          </cell>
          <cell r="G59" t="str">
            <v>25401-0001</v>
          </cell>
          <cell r="H59" t="str">
            <v>401ST DISTRICT COURT</v>
          </cell>
          <cell r="I59" t="str">
            <v>ADMIN</v>
          </cell>
          <cell r="J59" t="str">
            <v>0001-25401-0001-44-</v>
          </cell>
        </row>
        <row r="60">
          <cell r="B60" t="str">
            <v>2570</v>
          </cell>
          <cell r="C60" t="str">
            <v>416TH DC-ADMIN</v>
          </cell>
          <cell r="D60" t="str">
            <v>001-2570-440</v>
          </cell>
          <cell r="E60" t="str">
            <v>0001</v>
          </cell>
          <cell r="F60">
            <v>25416</v>
          </cell>
          <cell r="G60" t="str">
            <v>25416-0001</v>
          </cell>
          <cell r="H60" t="str">
            <v>416TH DISTRICT COURT</v>
          </cell>
          <cell r="I60" t="str">
            <v>ADMIN</v>
          </cell>
          <cell r="J60" t="str">
            <v>0001-25416-0001-44-</v>
          </cell>
        </row>
        <row r="61">
          <cell r="B61" t="str">
            <v>2580</v>
          </cell>
          <cell r="C61" t="str">
            <v>417TH DC-ADMIN</v>
          </cell>
          <cell r="D61" t="str">
            <v>001-2580-440</v>
          </cell>
          <cell r="E61" t="str">
            <v>0001</v>
          </cell>
          <cell r="F61">
            <v>25417</v>
          </cell>
          <cell r="G61" t="str">
            <v>25417-0001</v>
          </cell>
          <cell r="H61" t="str">
            <v>417TH DISTRICT COURT</v>
          </cell>
          <cell r="I61" t="str">
            <v>ADMIN</v>
          </cell>
          <cell r="J61" t="str">
            <v>0001-25417-0001-44-</v>
          </cell>
        </row>
        <row r="62">
          <cell r="B62" t="str">
            <v>2590</v>
          </cell>
          <cell r="C62" t="str">
            <v>429TH DC-ADMIN</v>
          </cell>
          <cell r="D62" t="str">
            <v>001-2590-440</v>
          </cell>
          <cell r="E62" t="str">
            <v>0001</v>
          </cell>
          <cell r="F62">
            <v>25429</v>
          </cell>
          <cell r="G62" t="str">
            <v>25429-0001</v>
          </cell>
          <cell r="H62" t="str">
            <v>429TH DISTRICT COURT</v>
          </cell>
          <cell r="I62" t="str">
            <v>ADMIN</v>
          </cell>
          <cell r="J62" t="str">
            <v>0001-25429-0001-44-</v>
          </cell>
        </row>
        <row r="63">
          <cell r="B63" t="str">
            <v>2630</v>
          </cell>
          <cell r="C63" t="str">
            <v>468TH DC-ADMIN</v>
          </cell>
          <cell r="E63" t="str">
            <v>0001</v>
          </cell>
          <cell r="F63" t="str">
            <v>25468</v>
          </cell>
          <cell r="G63" t="str">
            <v>25468-0001</v>
          </cell>
          <cell r="H63" t="str">
            <v>468TH FAMILY DISTRICT COURT</v>
          </cell>
          <cell r="I63" t="str">
            <v>ADMIN</v>
          </cell>
          <cell r="J63" t="str">
            <v>0001-25468-0001-44-</v>
          </cell>
        </row>
        <row r="64">
          <cell r="B64" t="str">
            <v>2610</v>
          </cell>
          <cell r="C64" t="str">
            <v>469TH DC-ADMIN</v>
          </cell>
          <cell r="D64" t="str">
            <v>001-2610-440</v>
          </cell>
          <cell r="E64" t="str">
            <v>0001</v>
          </cell>
          <cell r="F64">
            <v>25469</v>
          </cell>
          <cell r="G64" t="str">
            <v>25469-0001</v>
          </cell>
          <cell r="H64" t="str">
            <v>469TH DISTRICT COURT</v>
          </cell>
          <cell r="I64" t="str">
            <v>ADMIN</v>
          </cell>
          <cell r="J64" t="str">
            <v>0001-25469-0001-44-</v>
          </cell>
        </row>
        <row r="65">
          <cell r="B65" t="str">
            <v>2620</v>
          </cell>
          <cell r="C65" t="str">
            <v>470TH DC-ADMIN</v>
          </cell>
          <cell r="D65" t="str">
            <v>001-2620-440</v>
          </cell>
          <cell r="E65" t="str">
            <v>0001</v>
          </cell>
          <cell r="F65">
            <v>25470</v>
          </cell>
          <cell r="G65" t="str">
            <v>25470-0001</v>
          </cell>
          <cell r="H65" t="str">
            <v>470TH DISTRICT COURT</v>
          </cell>
          <cell r="I65" t="str">
            <v>ADMIN</v>
          </cell>
          <cell r="J65" t="str">
            <v>0001-25470-0001-44-</v>
          </cell>
        </row>
        <row r="66">
          <cell r="B66" t="str">
            <v>2640</v>
          </cell>
          <cell r="C66" t="str">
            <v>471ST DC-ADMIN</v>
          </cell>
          <cell r="E66" t="str">
            <v>0001</v>
          </cell>
          <cell r="F66">
            <v>25471</v>
          </cell>
          <cell r="G66" t="str">
            <v>25471-0001</v>
          </cell>
          <cell r="H66" t="str">
            <v>471ST CIVIL COURT</v>
          </cell>
          <cell r="I66" t="str">
            <v>ADMIN</v>
          </cell>
          <cell r="J66" t="str">
            <v>0001-25471-0001-44-</v>
          </cell>
        </row>
        <row r="67">
          <cell r="B67" t="str">
            <v>2650</v>
          </cell>
          <cell r="C67" t="str">
            <v>493RD DC-ADMIN</v>
          </cell>
          <cell r="E67" t="str">
            <v>0001</v>
          </cell>
          <cell r="F67">
            <v>25493</v>
          </cell>
          <cell r="G67" t="str">
            <v>25493-0001</v>
          </cell>
          <cell r="H67" t="str">
            <v>493RD DISTRICT COURT</v>
          </cell>
          <cell r="I67" t="str">
            <v>ADMIN</v>
          </cell>
          <cell r="J67" t="str">
            <v>0001-25493-0001-44-</v>
          </cell>
        </row>
        <row r="68">
          <cell r="B68" t="str">
            <v>2660</v>
          </cell>
          <cell r="C68" t="str">
            <v>494TH DC-ADMIN</v>
          </cell>
          <cell r="E68" t="str">
            <v>0001</v>
          </cell>
          <cell r="F68">
            <v>25494</v>
          </cell>
          <cell r="G68" t="str">
            <v>25494-0001</v>
          </cell>
          <cell r="H68" t="str">
            <v>494TH DISTRICT COURT</v>
          </cell>
          <cell r="I68" t="str">
            <v>ADMIN</v>
          </cell>
          <cell r="J68" t="str">
            <v>0001-25494-0001-44-</v>
          </cell>
        </row>
        <row r="69">
          <cell r="B69" t="str">
            <v>3001</v>
          </cell>
          <cell r="C69" t="str">
            <v>AUDITOR - ADMIN</v>
          </cell>
          <cell r="D69" t="str">
            <v>001-3001-481</v>
          </cell>
          <cell r="E69" t="str">
            <v>0001</v>
          </cell>
          <cell r="F69">
            <v>30001</v>
          </cell>
          <cell r="G69" t="str">
            <v>30001-0001</v>
          </cell>
          <cell r="H69" t="str">
            <v>COUNTY AUDITOR</v>
          </cell>
          <cell r="I69" t="str">
            <v>ADMIN</v>
          </cell>
          <cell r="J69" t="str">
            <v>0001-30001-0001-48-</v>
          </cell>
        </row>
        <row r="70">
          <cell r="B70" t="str">
            <v>3101</v>
          </cell>
          <cell r="C70" t="str">
            <v>TAX A/C - ADMIN</v>
          </cell>
          <cell r="D70" t="str">
            <v>001-3101-483</v>
          </cell>
          <cell r="E70" t="str">
            <v>0001</v>
          </cell>
          <cell r="F70">
            <v>31001</v>
          </cell>
          <cell r="G70" t="str">
            <v>31001-0001</v>
          </cell>
          <cell r="H70" t="str">
            <v>TAX ASSESSOR/COLLECTOR</v>
          </cell>
          <cell r="I70" t="str">
            <v>ADMIN</v>
          </cell>
          <cell r="J70" t="str">
            <v>0001-31001-0001-48-</v>
          </cell>
        </row>
        <row r="71">
          <cell r="B71" t="str">
            <v>3201</v>
          </cell>
          <cell r="C71" t="str">
            <v>PURCHASING - ADMIN</v>
          </cell>
          <cell r="D71" t="str">
            <v>001-3201-482</v>
          </cell>
          <cell r="E71" t="str">
            <v>0001</v>
          </cell>
          <cell r="F71">
            <v>32001</v>
          </cell>
          <cell r="G71" t="str">
            <v>32001-0001</v>
          </cell>
          <cell r="H71" t="str">
            <v>PURCHASING</v>
          </cell>
          <cell r="I71" t="str">
            <v>ADMIN</v>
          </cell>
          <cell r="J71" t="str">
            <v>0001-32001-0001-48-</v>
          </cell>
        </row>
        <row r="72">
          <cell r="B72" t="str">
            <v>3501</v>
          </cell>
          <cell r="C72" t="str">
            <v>DA-ADMIN</v>
          </cell>
          <cell r="D72" t="str">
            <v>001-3501-520</v>
          </cell>
          <cell r="E72" t="str">
            <v>0001</v>
          </cell>
          <cell r="F72">
            <v>35001</v>
          </cell>
          <cell r="G72" t="str">
            <v>35001-0001</v>
          </cell>
          <cell r="H72" t="str">
            <v>DISTRICT ATTORNEY</v>
          </cell>
          <cell r="I72" t="str">
            <v>ADMIN</v>
          </cell>
          <cell r="J72" t="str">
            <v>0001-35001-0001-52-</v>
          </cell>
        </row>
        <row r="73">
          <cell r="B73" t="str">
            <v>3502</v>
          </cell>
          <cell r="C73" t="str">
            <v>DA FED TASK FORCE</v>
          </cell>
          <cell r="E73">
            <v>1060</v>
          </cell>
          <cell r="F73">
            <v>35002</v>
          </cell>
          <cell r="G73" t="str">
            <v>35002-0001</v>
          </cell>
          <cell r="H73" t="str">
            <v>DA FED TASK FORCE</v>
          </cell>
          <cell r="I73" t="str">
            <v>ADMIN</v>
          </cell>
          <cell r="J73" t="str">
            <v>1060-35002-0001-52-</v>
          </cell>
        </row>
        <row r="74">
          <cell r="B74" t="str">
            <v>3560</v>
          </cell>
          <cell r="C74" t="str">
            <v>DA DEFRD PROSC PRGM-ADMIN</v>
          </cell>
          <cell r="D74" t="str">
            <v>049-3560-520</v>
          </cell>
          <cell r="E74">
            <v>1049</v>
          </cell>
          <cell r="F74">
            <v>35060</v>
          </cell>
          <cell r="G74" t="str">
            <v>35060-0001</v>
          </cell>
          <cell r="H74" t="str">
            <v>DA DEFERRED PROSECUTION</v>
          </cell>
          <cell r="I74" t="str">
            <v>ADMIN</v>
          </cell>
          <cell r="J74" t="str">
            <v>1049-35060-0001-52-</v>
          </cell>
        </row>
        <row r="75">
          <cell r="B75" t="str">
            <v>4010</v>
          </cell>
          <cell r="C75" t="str">
            <v>BUILD SUP - ADMIN</v>
          </cell>
          <cell r="D75" t="str">
            <v>001-4010-560</v>
          </cell>
          <cell r="E75" t="str">
            <v>0001</v>
          </cell>
          <cell r="F75">
            <v>40010</v>
          </cell>
          <cell r="G75" t="str">
            <v>40010-0001</v>
          </cell>
          <cell r="H75" t="str">
            <v>FACILITIES &amp; PARKS</v>
          </cell>
          <cell r="I75" t="str">
            <v>ADMIN</v>
          </cell>
          <cell r="J75" t="str">
            <v>0001-40010-0001-56-</v>
          </cell>
        </row>
        <row r="76">
          <cell r="B76" t="str">
            <v>4030</v>
          </cell>
          <cell r="C76" t="str">
            <v>CONST &amp; PROJ - ADMIN</v>
          </cell>
          <cell r="D76" t="str">
            <v>001-4030-560</v>
          </cell>
          <cell r="E76" t="str">
            <v>0001</v>
          </cell>
          <cell r="F76">
            <v>40030</v>
          </cell>
          <cell r="G76" t="str">
            <v>40030-0001</v>
          </cell>
          <cell r="H76" t="str">
            <v>BUILDING SUPERINTENDENT</v>
          </cell>
          <cell r="I76" t="str">
            <v>ADMIN</v>
          </cell>
          <cell r="J76" t="str">
            <v>0001-40030-0001-56-</v>
          </cell>
        </row>
        <row r="77">
          <cell r="B77" t="str">
            <v>4401</v>
          </cell>
          <cell r="C77" t="str">
            <v>EQUIP SERV-ADMIN</v>
          </cell>
          <cell r="D77" t="str">
            <v>001-4401-600</v>
          </cell>
          <cell r="E77" t="str">
            <v>0001</v>
          </cell>
          <cell r="F77">
            <v>44001</v>
          </cell>
          <cell r="G77" t="str">
            <v>44001-0001</v>
          </cell>
          <cell r="H77" t="str">
            <v>EQUIPMENT SERVICES</v>
          </cell>
          <cell r="I77" t="str">
            <v>ADMIN</v>
          </cell>
          <cell r="J77" t="str">
            <v>0001-44001-0001-60-</v>
          </cell>
        </row>
        <row r="78">
          <cell r="B78" t="str">
            <v>5001</v>
          </cell>
          <cell r="C78" t="str">
            <v>SO-ADMIN</v>
          </cell>
          <cell r="D78" t="str">
            <v>001-5001-640</v>
          </cell>
          <cell r="E78" t="str">
            <v>0001</v>
          </cell>
          <cell r="F78">
            <v>50001</v>
          </cell>
          <cell r="G78" t="str">
            <v>50001-0001</v>
          </cell>
          <cell r="H78" t="str">
            <v>SHERIFF'S OFFICE</v>
          </cell>
          <cell r="I78" t="str">
            <v>ADMIN</v>
          </cell>
          <cell r="J78" t="str">
            <v>0001-50001-0001-64-</v>
          </cell>
        </row>
        <row r="79">
          <cell r="B79" t="str">
            <v>5003</v>
          </cell>
          <cell r="C79" t="str">
            <v>SO-Dispatch</v>
          </cell>
          <cell r="D79" t="str">
            <v>001-5003-640</v>
          </cell>
          <cell r="E79" t="str">
            <v>0001</v>
          </cell>
          <cell r="F79">
            <v>50003</v>
          </cell>
          <cell r="G79" t="str">
            <v>50003-0001</v>
          </cell>
          <cell r="H79" t="str">
            <v>SHERIFF'S OFFICE</v>
          </cell>
          <cell r="I79" t="str">
            <v>ADMIN</v>
          </cell>
          <cell r="J79" t="str">
            <v>0001-50003-0001-64-</v>
          </cell>
        </row>
        <row r="80">
          <cell r="B80" t="str">
            <v>5030</v>
          </cell>
          <cell r="C80" t="str">
            <v>JAIL OPS-ADMIN</v>
          </cell>
          <cell r="D80" t="str">
            <v>001-5030-641</v>
          </cell>
          <cell r="E80" t="str">
            <v>0001</v>
          </cell>
          <cell r="F80">
            <v>50030</v>
          </cell>
          <cell r="G80" t="str">
            <v>50030-0001</v>
          </cell>
          <cell r="H80" t="str">
            <v>SO JAIL OPERATIONS</v>
          </cell>
          <cell r="I80" t="str">
            <v>ADMIN</v>
          </cell>
          <cell r="J80" t="str">
            <v>0001-50030-0001-64-</v>
          </cell>
        </row>
        <row r="81">
          <cell r="B81" t="str">
            <v>5031</v>
          </cell>
          <cell r="C81" t="str">
            <v>SO COMMISSARY-COMMISSARY</v>
          </cell>
          <cell r="E81" t="str">
            <v>0001</v>
          </cell>
          <cell r="F81">
            <v>50035</v>
          </cell>
          <cell r="G81" t="str">
            <v>50035-0054</v>
          </cell>
          <cell r="H81" t="str">
            <v>SO COMMISSARY</v>
          </cell>
          <cell r="I81" t="str">
            <v>COMMISSARY</v>
          </cell>
          <cell r="J81" t="str">
            <v>0001-50035-0054-64-</v>
          </cell>
        </row>
        <row r="82">
          <cell r="B82" t="str">
            <v>5040</v>
          </cell>
          <cell r="C82" t="str">
            <v>CH SEC-ADMIN</v>
          </cell>
          <cell r="D82" t="str">
            <v>029-5040-648</v>
          </cell>
          <cell r="E82">
            <v>29</v>
          </cell>
          <cell r="F82">
            <v>50040</v>
          </cell>
          <cell r="G82" t="str">
            <v>50040-0001</v>
          </cell>
          <cell r="H82" t="str">
            <v>SO COURTHOUSE SECURITY</v>
          </cell>
          <cell r="I82" t="str">
            <v>ADMIN</v>
          </cell>
          <cell r="J82" t="str">
            <v>0029-50040-0001-64-</v>
          </cell>
        </row>
        <row r="83">
          <cell r="B83" t="str">
            <v>5050</v>
          </cell>
          <cell r="C83" t="str">
            <v>MINIMUM SECURITY</v>
          </cell>
          <cell r="D83" t="str">
            <v>001-5050-641</v>
          </cell>
          <cell r="E83" t="str">
            <v>0001</v>
          </cell>
          <cell r="F83">
            <v>50050</v>
          </cell>
          <cell r="G83" t="str">
            <v>50030-0001</v>
          </cell>
          <cell r="H83" t="str">
            <v>SO MINIMUM SECURITY</v>
          </cell>
          <cell r="I83" t="str">
            <v>ADMIN</v>
          </cell>
          <cell r="J83" t="str">
            <v>0001-50030-0001-64-</v>
          </cell>
        </row>
        <row r="84">
          <cell r="B84" t="str">
            <v>5060</v>
          </cell>
          <cell r="C84" t="str">
            <v>SO-FUSION CENTER</v>
          </cell>
          <cell r="D84" t="str">
            <v>001-5060-644</v>
          </cell>
          <cell r="E84" t="str">
            <v>0001</v>
          </cell>
          <cell r="F84">
            <v>50060</v>
          </cell>
          <cell r="G84" t="str">
            <v>50060-0001</v>
          </cell>
          <cell r="H84" t="str">
            <v>SHERIFF'S OFFICE FUSION CENTER</v>
          </cell>
          <cell r="I84" t="str">
            <v>ADMIN</v>
          </cell>
          <cell r="J84" t="str">
            <v>0001-50060-0001-64-</v>
          </cell>
        </row>
        <row r="85">
          <cell r="B85" t="str">
            <v>5070</v>
          </cell>
          <cell r="C85" t="str">
            <v>INMATE TRANS-ADMIN</v>
          </cell>
          <cell r="D85" t="str">
            <v>001-5070-641</v>
          </cell>
          <cell r="E85" t="str">
            <v>0001</v>
          </cell>
          <cell r="F85">
            <v>50070</v>
          </cell>
          <cell r="G85" t="str">
            <v>50030-0001</v>
          </cell>
          <cell r="H85" t="str">
            <v>SO INMATE TRANSFER</v>
          </cell>
          <cell r="I85" t="str">
            <v>ADMIN</v>
          </cell>
          <cell r="J85" t="str">
            <v>0001-50030-0001-64-</v>
          </cell>
        </row>
        <row r="86">
          <cell r="B86" t="str">
            <v>5080</v>
          </cell>
          <cell r="C86" t="str">
            <v>PTR-ADMIN</v>
          </cell>
          <cell r="D86" t="str">
            <v>001-5080-643</v>
          </cell>
          <cell r="E86" t="str">
            <v>0001</v>
          </cell>
          <cell r="F86">
            <v>50030</v>
          </cell>
          <cell r="G86" t="str">
            <v>50030-0004</v>
          </cell>
          <cell r="H86" t="str">
            <v>SO JAIL OPERATIONS</v>
          </cell>
          <cell r="I86" t="str">
            <v>PRE-TRIAL RELEASE</v>
          </cell>
          <cell r="J86" t="str">
            <v>0001-50030-0004-64-</v>
          </cell>
        </row>
        <row r="87">
          <cell r="B87" t="str">
            <v>5090</v>
          </cell>
          <cell r="C87" t="str">
            <v>SO COUNTY CORR - ADMIN</v>
          </cell>
          <cell r="D87" t="str">
            <v>001-5090-643</v>
          </cell>
          <cell r="E87" t="str">
            <v>0001</v>
          </cell>
          <cell r="F87">
            <v>50090</v>
          </cell>
          <cell r="G87" t="str">
            <v>50090-0008</v>
          </cell>
          <cell r="H87" t="str">
            <v>SO COUNTY CORRECTION</v>
          </cell>
          <cell r="I87" t="str">
            <v>SCORE</v>
          </cell>
          <cell r="J87" t="str">
            <v>0001-50090-0008-64-</v>
          </cell>
        </row>
        <row r="88">
          <cell r="B88" t="str">
            <v>5110</v>
          </cell>
          <cell r="C88" t="str">
            <v>CHILD ABUSE - ADMIN</v>
          </cell>
          <cell r="D88" t="str">
            <v>001-5110-640</v>
          </cell>
          <cell r="E88" t="str">
            <v>0001</v>
          </cell>
          <cell r="F88">
            <v>50002</v>
          </cell>
          <cell r="G88" t="str">
            <v>50002-0001</v>
          </cell>
          <cell r="H88" t="str">
            <v>SHERIFF'S OFFICE CHILD ABUSE</v>
          </cell>
          <cell r="I88" t="str">
            <v>ADMIN</v>
          </cell>
          <cell r="J88" t="str">
            <v>0001-50002-0001-64-</v>
          </cell>
        </row>
        <row r="89">
          <cell r="B89">
            <v>5509</v>
          </cell>
          <cell r="C89" t="str">
            <v>CONSTABLE-SHARED</v>
          </cell>
          <cell r="D89" t="str">
            <v>001-5509-642</v>
          </cell>
          <cell r="E89" t="str">
            <v>0001</v>
          </cell>
          <cell r="F89">
            <v>55000</v>
          </cell>
          <cell r="G89" t="str">
            <v>55000-0009</v>
          </cell>
          <cell r="H89" t="str">
            <v>CONSTABLES-SHARED</v>
          </cell>
          <cell r="I89" t="str">
            <v>SHARED</v>
          </cell>
          <cell r="J89" t="str">
            <v>0001-55000-0009-64-</v>
          </cell>
        </row>
        <row r="90">
          <cell r="B90" t="str">
            <v>5510</v>
          </cell>
          <cell r="C90" t="str">
            <v>C1-ADMIN</v>
          </cell>
          <cell r="D90" t="str">
            <v>001-5510-642</v>
          </cell>
          <cell r="E90" t="str">
            <v>0001</v>
          </cell>
          <cell r="F90">
            <v>55010</v>
          </cell>
          <cell r="G90" t="str">
            <v>55010-0001</v>
          </cell>
          <cell r="H90" t="str">
            <v>CONSTABLE PCT1</v>
          </cell>
          <cell r="I90" t="str">
            <v>ADMIN</v>
          </cell>
          <cell r="J90" t="str">
            <v>0001-55010-0001-64-</v>
          </cell>
        </row>
        <row r="91">
          <cell r="B91" t="str">
            <v>5530</v>
          </cell>
          <cell r="C91" t="str">
            <v>C2-ADMIN</v>
          </cell>
          <cell r="D91" t="str">
            <v>001-5530-642</v>
          </cell>
          <cell r="E91" t="str">
            <v>0001</v>
          </cell>
          <cell r="F91">
            <v>55020</v>
          </cell>
          <cell r="G91" t="str">
            <v>55020-0001</v>
          </cell>
          <cell r="H91" t="str">
            <v>CONSTABLE PCT2</v>
          </cell>
          <cell r="I91" t="str">
            <v>ADMIN</v>
          </cell>
          <cell r="J91" t="str">
            <v>0001-55020-0001-64-</v>
          </cell>
        </row>
        <row r="92">
          <cell r="B92" t="str">
            <v>5550</v>
          </cell>
          <cell r="C92" t="str">
            <v>C3-ADMIN</v>
          </cell>
          <cell r="D92" t="str">
            <v>001-5550-642</v>
          </cell>
          <cell r="E92" t="str">
            <v>0001</v>
          </cell>
          <cell r="F92">
            <v>55030</v>
          </cell>
          <cell r="G92" t="str">
            <v>55030-0001</v>
          </cell>
          <cell r="H92" t="str">
            <v>CONSTABLE PCT3</v>
          </cell>
          <cell r="I92" t="str">
            <v>ADMIN</v>
          </cell>
          <cell r="J92" t="str">
            <v>0001-55030-0001-64-</v>
          </cell>
        </row>
        <row r="93">
          <cell r="B93" t="str">
            <v>5570</v>
          </cell>
          <cell r="C93" t="str">
            <v>C4-ADMIN</v>
          </cell>
          <cell r="D93" t="str">
            <v>001-5570-642</v>
          </cell>
          <cell r="E93" t="str">
            <v>0001</v>
          </cell>
          <cell r="F93">
            <v>55040</v>
          </cell>
          <cell r="G93" t="str">
            <v>55040-0001</v>
          </cell>
          <cell r="H93" t="str">
            <v>CONSTABLE PCT4</v>
          </cell>
          <cell r="I93" t="str">
            <v>ADMIN</v>
          </cell>
          <cell r="J93" t="str">
            <v>0001-55040-0001-64-</v>
          </cell>
        </row>
        <row r="94">
          <cell r="B94" t="str">
            <v>5701</v>
          </cell>
          <cell r="C94" t="str">
            <v>FIRE MARSHALL-ADMIN</v>
          </cell>
          <cell r="D94" t="str">
            <v>001-5701-648</v>
          </cell>
          <cell r="E94" t="str">
            <v>0001</v>
          </cell>
          <cell r="F94">
            <v>57001</v>
          </cell>
          <cell r="G94" t="str">
            <v>57001-0001</v>
          </cell>
          <cell r="H94" t="str">
            <v>FIRE MARSHAL</v>
          </cell>
          <cell r="I94" t="str">
            <v>ADMIN</v>
          </cell>
          <cell r="J94" t="str">
            <v>0001-57001-0001-64-</v>
          </cell>
        </row>
        <row r="95">
          <cell r="B95" t="str">
            <v>5801</v>
          </cell>
          <cell r="C95" t="str">
            <v>HL SEC - ADMIN</v>
          </cell>
          <cell r="D95" t="str">
            <v>001-5801-644</v>
          </cell>
          <cell r="E95" t="str">
            <v>0001</v>
          </cell>
          <cell r="F95">
            <v>58001</v>
          </cell>
          <cell r="G95" t="str">
            <v>58001-0001</v>
          </cell>
          <cell r="H95" t="str">
            <v>HOMELAND SECURITY</v>
          </cell>
          <cell r="I95" t="str">
            <v>ADMIN</v>
          </cell>
          <cell r="J95" t="str">
            <v>0001-58001-0001-64-</v>
          </cell>
        </row>
        <row r="96">
          <cell r="B96" t="str">
            <v>5901</v>
          </cell>
          <cell r="C96" t="str">
            <v>HIGHWAY PATROL - ADMIN</v>
          </cell>
          <cell r="D96" t="str">
            <v>001-5901-640</v>
          </cell>
          <cell r="E96" t="str">
            <v>0001</v>
          </cell>
          <cell r="F96">
            <v>59001</v>
          </cell>
          <cell r="G96" t="str">
            <v>59001-0001</v>
          </cell>
          <cell r="H96" t="str">
            <v>HIGHWAY PATROL</v>
          </cell>
          <cell r="I96" t="str">
            <v>ADMIN</v>
          </cell>
          <cell r="J96" t="str">
            <v>0001-59001-0001-64-</v>
          </cell>
        </row>
        <row r="97">
          <cell r="B97" t="str">
            <v>5950</v>
          </cell>
          <cell r="C97" t="str">
            <v>EMERGENCY MANAGEMENT</v>
          </cell>
          <cell r="D97" t="str">
            <v>001-5950-648</v>
          </cell>
          <cell r="E97" t="str">
            <v>0001</v>
          </cell>
          <cell r="F97">
            <v>59050</v>
          </cell>
          <cell r="G97" t="str">
            <v>59050-0001</v>
          </cell>
          <cell r="H97" t="str">
            <v>EMERGENCY MANAGEMENT</v>
          </cell>
          <cell r="I97" t="str">
            <v>ADMIN</v>
          </cell>
          <cell r="J97" t="str">
            <v>0001-59050-0001-64-</v>
          </cell>
        </row>
        <row r="98">
          <cell r="B98" t="str">
            <v>6030</v>
          </cell>
          <cell r="C98" t="str">
            <v>SUB ABUSE-ADMIN</v>
          </cell>
          <cell r="D98" t="str">
            <v>001-6030-720</v>
          </cell>
          <cell r="E98" t="str">
            <v>0001</v>
          </cell>
          <cell r="F98">
            <v>60030</v>
          </cell>
          <cell r="G98" t="str">
            <v>60030-0001</v>
          </cell>
          <cell r="H98" t="str">
            <v>SUBSTANCE ABUSE</v>
          </cell>
          <cell r="I98" t="str">
            <v>ADMIN</v>
          </cell>
          <cell r="J98" t="str">
            <v>0001-60030-0001-72-</v>
          </cell>
        </row>
        <row r="99">
          <cell r="B99" t="str">
            <v>6290</v>
          </cell>
          <cell r="C99" t="str">
            <v>IND DEF COORDINATOR-ADMIN</v>
          </cell>
          <cell r="D99" t="str">
            <v>001-6290-445</v>
          </cell>
          <cell r="E99" t="str">
            <v>0001</v>
          </cell>
          <cell r="F99">
            <v>62090</v>
          </cell>
          <cell r="G99" t="str">
            <v>62090-0001</v>
          </cell>
          <cell r="H99" t="str">
            <v>INDIGENT DEFENSE COORDINATOR</v>
          </cell>
          <cell r="I99" t="str">
            <v>ADMIN</v>
          </cell>
          <cell r="J99" t="str">
            <v>0001-62090-0001-44-</v>
          </cell>
        </row>
        <row r="100">
          <cell r="B100" t="str">
            <v>6401</v>
          </cell>
          <cell r="C100" t="str">
            <v>JUV PROB-ADMIN</v>
          </cell>
          <cell r="D100" t="str">
            <v>001-6401-643</v>
          </cell>
          <cell r="E100" t="str">
            <v>0001</v>
          </cell>
          <cell r="F100">
            <v>64001</v>
          </cell>
          <cell r="G100" t="str">
            <v>64001-0001</v>
          </cell>
          <cell r="H100" t="str">
            <v>JUVENILE PROBATION</v>
          </cell>
          <cell r="I100" t="str">
            <v>ADMIN</v>
          </cell>
          <cell r="J100" t="str">
            <v>0001-64001-0001-64-</v>
          </cell>
        </row>
        <row r="101">
          <cell r="B101" t="str">
            <v>6420</v>
          </cell>
          <cell r="C101" t="str">
            <v>JUV DET -ADMIN</v>
          </cell>
          <cell r="D101" t="str">
            <v>001-6420-641</v>
          </cell>
          <cell r="E101" t="str">
            <v>0001</v>
          </cell>
          <cell r="F101">
            <v>64020</v>
          </cell>
          <cell r="G101" t="str">
            <v>64020-0001</v>
          </cell>
          <cell r="H101" t="str">
            <v>JUVENILE DETENTION</v>
          </cell>
          <cell r="I101" t="str">
            <v>ADMIN</v>
          </cell>
          <cell r="J101" t="str">
            <v>0001-64020-0001-64-</v>
          </cell>
        </row>
        <row r="102">
          <cell r="B102" t="str">
            <v>6430</v>
          </cell>
          <cell r="C102" t="str">
            <v>JUV PROB - GRANT N</v>
          </cell>
          <cell r="D102" t="str">
            <v>180-6430-643</v>
          </cell>
          <cell r="E102" t="str">
            <v>2580</v>
          </cell>
          <cell r="F102">
            <v>64001</v>
          </cell>
          <cell r="G102" t="str">
            <v>64001-9100</v>
          </cell>
          <cell r="H102" t="str">
            <v>JUVENILE PROBATION</v>
          </cell>
          <cell r="I102" t="str">
            <v>JUV PROB-GRANT N</v>
          </cell>
          <cell r="J102" t="str">
            <v>2580-64001-9100-64-</v>
          </cell>
        </row>
        <row r="103">
          <cell r="B103" t="str">
            <v>6440</v>
          </cell>
          <cell r="C103" t="str">
            <v>COMM CORR-ADMIN</v>
          </cell>
          <cell r="D103" t="str">
            <v>001-6440-643</v>
          </cell>
          <cell r="E103" t="str">
            <v>0001</v>
          </cell>
          <cell r="F103">
            <v>64040</v>
          </cell>
          <cell r="G103" t="str">
            <v>64040-0001</v>
          </cell>
          <cell r="H103" t="str">
            <v>JUVENILE COMMUNITY CORRECTION</v>
          </cell>
          <cell r="I103" t="str">
            <v>ADMIN</v>
          </cell>
          <cell r="J103" t="str">
            <v>0001-64040-0001-64-</v>
          </cell>
        </row>
        <row r="104">
          <cell r="B104" t="str">
            <v>6460</v>
          </cell>
          <cell r="C104" t="str">
            <v>JUV ALT ED-ADMIN</v>
          </cell>
          <cell r="D104" t="str">
            <v>001-6460-643</v>
          </cell>
          <cell r="E104" t="str">
            <v>0001</v>
          </cell>
          <cell r="F104">
            <v>64060</v>
          </cell>
          <cell r="G104" t="str">
            <v>64060-0001</v>
          </cell>
          <cell r="H104" t="str">
            <v>JJAEP</v>
          </cell>
          <cell r="I104" t="str">
            <v>ADMIN</v>
          </cell>
          <cell r="J104" t="str">
            <v>0001-64060-0001-64-</v>
          </cell>
        </row>
        <row r="105">
          <cell r="B105" t="str">
            <v>7001</v>
          </cell>
          <cell r="C105" t="str">
            <v>EXTENTION OFFICE - ADMIN</v>
          </cell>
          <cell r="D105" t="str">
            <v>001-7001-800</v>
          </cell>
          <cell r="E105" t="str">
            <v>0001</v>
          </cell>
          <cell r="F105">
            <v>70001</v>
          </cell>
          <cell r="G105" t="str">
            <v>70001-0001</v>
          </cell>
          <cell r="H105" t="str">
            <v>AGRILIFE EXTENSION</v>
          </cell>
          <cell r="I105" t="str">
            <v>ADMIN</v>
          </cell>
          <cell r="J105" t="str">
            <v>0001-70001-0001-80-</v>
          </cell>
        </row>
        <row r="106">
          <cell r="B106" t="str">
            <v>7801</v>
          </cell>
          <cell r="C106" t="str">
            <v>MYERS-ADMIN</v>
          </cell>
          <cell r="D106" t="str">
            <v>001-7801-760</v>
          </cell>
          <cell r="E106" t="str">
            <v>0001</v>
          </cell>
          <cell r="F106">
            <v>78001</v>
          </cell>
          <cell r="G106" t="str">
            <v>78001-0001</v>
          </cell>
          <cell r="H106" t="str">
            <v>MYERS PARK</v>
          </cell>
          <cell r="I106" t="str">
            <v>ADMIN</v>
          </cell>
          <cell r="J106" t="str">
            <v>0001-78001-0001-76-</v>
          </cell>
        </row>
        <row r="107">
          <cell r="B107" t="str">
            <v>7820</v>
          </cell>
          <cell r="C107" t="str">
            <v>FARM MUS-ADMIN</v>
          </cell>
          <cell r="D107" t="str">
            <v>001-7820-761</v>
          </cell>
          <cell r="E107" t="str">
            <v>0001</v>
          </cell>
          <cell r="F107">
            <v>78020</v>
          </cell>
          <cell r="G107" t="str">
            <v>78020-0001</v>
          </cell>
          <cell r="H107" t="str">
            <v>MYERS PARK FARM MUSEUM</v>
          </cell>
          <cell r="I107" t="str">
            <v>ADMIN</v>
          </cell>
          <cell r="J107" t="str">
            <v>0001-78020-0001-76-</v>
          </cell>
        </row>
        <row r="108">
          <cell r="B108" t="str">
            <v>8201</v>
          </cell>
          <cell r="C108" t="str">
            <v>DEV SERV-ADMIN</v>
          </cell>
          <cell r="D108" t="str">
            <v>001-8201-648</v>
          </cell>
          <cell r="E108" t="str">
            <v>0001</v>
          </cell>
          <cell r="F108">
            <v>82001</v>
          </cell>
          <cell r="G108" t="str">
            <v>82001-0001</v>
          </cell>
          <cell r="H108" t="str">
            <v>DEVELOPMENT SERVICES</v>
          </cell>
          <cell r="I108" t="str">
            <v>ADMIN</v>
          </cell>
          <cell r="J108" t="str">
            <v>0001-82001-0001-64-</v>
          </cell>
        </row>
        <row r="109">
          <cell r="B109" t="str">
            <v>0651</v>
          </cell>
          <cell r="C109" t="str">
            <v>GIS - ROAD &amp; BRIDGE</v>
          </cell>
          <cell r="E109" t="str">
            <v>1010</v>
          </cell>
          <cell r="F109" t="str">
            <v>06050</v>
          </cell>
          <cell r="G109" t="str">
            <v>06050-0061</v>
          </cell>
          <cell r="H109" t="str">
            <v>GIS - ROAD &amp; BRIDGE</v>
          </cell>
          <cell r="I109" t="str">
            <v>IT</v>
          </cell>
          <cell r="J109" t="str">
            <v>1010-06050-0061-64-</v>
          </cell>
        </row>
        <row r="110">
          <cell r="B110" t="str">
            <v>7501</v>
          </cell>
          <cell r="C110" t="str">
            <v>R&amp;B - ADMIN</v>
          </cell>
          <cell r="D110" t="str">
            <v>010-7501-680</v>
          </cell>
          <cell r="E110">
            <v>1010</v>
          </cell>
          <cell r="F110">
            <v>75001</v>
          </cell>
          <cell r="G110" t="str">
            <v>75001-0001</v>
          </cell>
          <cell r="H110" t="str">
            <v>ROAD &amp; BRIDGE</v>
          </cell>
          <cell r="I110" t="str">
            <v>ADMIN</v>
          </cell>
          <cell r="J110" t="str">
            <v>1010-75001-0001-68-</v>
          </cell>
        </row>
        <row r="111">
          <cell r="B111" t="str">
            <v>7520</v>
          </cell>
          <cell r="C111" t="str">
            <v>ENG - ADMIN</v>
          </cell>
          <cell r="D111" t="str">
            <v>010-7520-680</v>
          </cell>
          <cell r="E111">
            <v>1010</v>
          </cell>
          <cell r="F111">
            <v>75020</v>
          </cell>
          <cell r="G111" t="str">
            <v>75020-0001</v>
          </cell>
          <cell r="H111" t="str">
            <v>ENGINEERING</v>
          </cell>
          <cell r="I111" t="str">
            <v>ADMIN</v>
          </cell>
          <cell r="J111" t="str">
            <v>1010-75020-0001-68-</v>
          </cell>
        </row>
        <row r="112">
          <cell r="B112" t="str">
            <v>7540</v>
          </cell>
          <cell r="C112" t="str">
            <v>PUBLIC WORKS-ADMIN</v>
          </cell>
          <cell r="D112" t="str">
            <v>010-7540-680</v>
          </cell>
          <cell r="E112">
            <v>1010</v>
          </cell>
          <cell r="F112">
            <v>75040</v>
          </cell>
          <cell r="G112" t="str">
            <v>75040-0001</v>
          </cell>
          <cell r="H112" t="str">
            <v>PUBLIC WORKS</v>
          </cell>
          <cell r="I112" t="str">
            <v>ADMIN</v>
          </cell>
          <cell r="J112" t="str">
            <v>1010-75040-0001-68-</v>
          </cell>
        </row>
        <row r="113">
          <cell r="B113" t="str">
            <v>7560</v>
          </cell>
          <cell r="C113" t="str">
            <v>SPEC PROJ - ADMIN</v>
          </cell>
          <cell r="D113" t="str">
            <v>010-7560-688</v>
          </cell>
          <cell r="E113">
            <v>1010</v>
          </cell>
          <cell r="F113">
            <v>75060</v>
          </cell>
          <cell r="G113" t="str">
            <v>75060-0001</v>
          </cell>
          <cell r="H113" t="str">
            <v>PUBLIC WORKS SPECIAL PROJECTS</v>
          </cell>
          <cell r="I113" t="str">
            <v>ADMIN</v>
          </cell>
          <cell r="J113" t="str">
            <v>1010-75060-0001-68-</v>
          </cell>
        </row>
        <row r="114">
          <cell r="B114" t="str">
            <v>0430</v>
          </cell>
          <cell r="C114" t="str">
            <v>LAW LIBRARY-ADMIN</v>
          </cell>
          <cell r="D114" t="str">
            <v>021-0430-448</v>
          </cell>
          <cell r="E114">
            <v>1021</v>
          </cell>
          <cell r="F114">
            <v>4030</v>
          </cell>
          <cell r="G114" t="str">
            <v>04030-0001</v>
          </cell>
          <cell r="H114" t="str">
            <v>BUDGET LAW LIBRARY</v>
          </cell>
          <cell r="I114" t="str">
            <v>ADMIN</v>
          </cell>
          <cell r="J114" t="str">
            <v>1021-04030-0001-44-</v>
          </cell>
        </row>
        <row r="115">
          <cell r="B115" t="str">
            <v>0840</v>
          </cell>
          <cell r="C115" t="str">
            <v>REC-ADMIN</v>
          </cell>
          <cell r="D115" t="str">
            <v>025-0840-411</v>
          </cell>
          <cell r="E115">
            <v>1025</v>
          </cell>
          <cell r="F115">
            <v>8040</v>
          </cell>
          <cell r="G115" t="str">
            <v>08040-0001</v>
          </cell>
          <cell r="H115" t="str">
            <v>COUNTY CLERK RECORDS</v>
          </cell>
          <cell r="I115" t="str">
            <v>ADMIN</v>
          </cell>
          <cell r="J115" t="str">
            <v>1025-08040-0001-41-</v>
          </cell>
        </row>
        <row r="116">
          <cell r="B116" t="str">
            <v>2340</v>
          </cell>
          <cell r="C116" t="str">
            <v>DOC PRES-ADMIN / DIST CLERK</v>
          </cell>
          <cell r="D116" t="str">
            <v>026-2340-441</v>
          </cell>
          <cell r="E116">
            <v>1026</v>
          </cell>
          <cell r="F116">
            <v>23040</v>
          </cell>
          <cell r="G116" t="str">
            <v>23040-0029</v>
          </cell>
          <cell r="H116" t="str">
            <v>DC DOCUMENT PRESERVATION</v>
          </cell>
          <cell r="I116" t="str">
            <v>RECORDS MGMT</v>
          </cell>
          <cell r="J116" t="str">
            <v>1026-23040-0029-44-</v>
          </cell>
        </row>
        <row r="117">
          <cell r="B117" t="str">
            <v>5840</v>
          </cell>
          <cell r="C117" t="str">
            <v>CH SEC-ADMIN</v>
          </cell>
          <cell r="D117" t="str">
            <v>029-5040-648</v>
          </cell>
          <cell r="E117">
            <v>29</v>
          </cell>
          <cell r="F117">
            <v>50040</v>
          </cell>
          <cell r="G117" t="str">
            <v>50040-0001</v>
          </cell>
          <cell r="H117" t="str">
            <v>SO COURTHOUSE SECURITY</v>
          </cell>
          <cell r="I117" t="str">
            <v>ADMIN</v>
          </cell>
          <cell r="J117" t="str">
            <v>0029-50040-0001-64-</v>
          </cell>
        </row>
        <row r="118">
          <cell r="B118" t="str">
            <v>3590</v>
          </cell>
          <cell r="C118" t="str">
            <v>DA SERV FEE</v>
          </cell>
          <cell r="D118" t="str">
            <v>038-3590-520</v>
          </cell>
          <cell r="E118">
            <v>1038</v>
          </cell>
          <cell r="F118">
            <v>35090</v>
          </cell>
          <cell r="G118" t="str">
            <v>35090-0001</v>
          </cell>
          <cell r="H118" t="str">
            <v>DISTRICT ATTORNEY SERVICE FEE</v>
          </cell>
          <cell r="I118" t="str">
            <v>ADMIN</v>
          </cell>
          <cell r="J118" t="str">
            <v>1038-35090-0001-52-</v>
          </cell>
        </row>
        <row r="119">
          <cell r="B119" t="str">
            <v>6001</v>
          </cell>
          <cell r="C119" t="str">
            <v>INDIGENT HC-ADMIN</v>
          </cell>
          <cell r="D119" t="str">
            <v>040-6001-720</v>
          </cell>
          <cell r="E119">
            <v>1040</v>
          </cell>
          <cell r="F119">
            <v>60001</v>
          </cell>
          <cell r="G119" t="str">
            <v>60001-0001</v>
          </cell>
          <cell r="H119" t="str">
            <v>HEALTHCARE SERVICES</v>
          </cell>
          <cell r="I119" t="str">
            <v>ADMIN</v>
          </cell>
          <cell r="J119" t="str">
            <v>1040-60001-0001-72-</v>
          </cell>
        </row>
        <row r="120">
          <cell r="B120" t="str">
            <v>2182</v>
          </cell>
          <cell r="C120" t="str">
            <v>PROBATE - GUARDIANSHIP</v>
          </cell>
          <cell r="D120" t="str">
            <v>054-2182-442</v>
          </cell>
          <cell r="E120">
            <v>1054</v>
          </cell>
          <cell r="F120">
            <v>21099</v>
          </cell>
          <cell r="G120" t="str">
            <v>21099-0024</v>
          </cell>
          <cell r="H120" t="str">
            <v>COUNTY COURTS PROBATE</v>
          </cell>
          <cell r="I120" t="str">
            <v>COURT INITIATED GUARDIANSHIP</v>
          </cell>
          <cell r="J120" t="str">
            <v>1054-21099-0024-44-</v>
          </cell>
        </row>
        <row r="121">
          <cell r="B121" t="str">
            <v>5860</v>
          </cell>
          <cell r="C121" t="str">
            <v>GRANT-BIOTERRORISM</v>
          </cell>
          <cell r="D121" t="str">
            <v>102-5860-720</v>
          </cell>
          <cell r="E121">
            <v>2102</v>
          </cell>
          <cell r="F121">
            <v>58001</v>
          </cell>
          <cell r="G121" t="str">
            <v>58001-9003</v>
          </cell>
          <cell r="H121" t="str">
            <v>HOMELAND SECURITY</v>
          </cell>
          <cell r="I121" t="str">
            <v>GRANT-BIOTERRORISM</v>
          </cell>
          <cell r="J121" t="str">
            <v>2102-58001-9003-72-</v>
          </cell>
        </row>
        <row r="122">
          <cell r="B122" t="str">
            <v>5878</v>
          </cell>
          <cell r="C122" t="str">
            <v>GRANT-STATE HL SEC 2007</v>
          </cell>
          <cell r="D122" t="str">
            <v>103-5878-644</v>
          </cell>
          <cell r="E122">
            <v>2103</v>
          </cell>
          <cell r="F122">
            <v>58001</v>
          </cell>
          <cell r="G122" t="str">
            <v>58001-9021</v>
          </cell>
          <cell r="H122" t="str">
            <v>HOMELAND SECURITY</v>
          </cell>
          <cell r="I122" t="str">
            <v>GRANT-STATE HL SEC 2007</v>
          </cell>
          <cell r="J122" t="str">
            <v>2103-58001-9021-64-</v>
          </cell>
        </row>
        <row r="123">
          <cell r="B123" t="str">
            <v>5862</v>
          </cell>
          <cell r="C123" t="str">
            <v>GRANT-CITY READINESS INT</v>
          </cell>
          <cell r="D123" t="str">
            <v>104-5862-720</v>
          </cell>
          <cell r="E123">
            <v>2104</v>
          </cell>
          <cell r="F123">
            <v>58001</v>
          </cell>
          <cell r="G123" t="str">
            <v>58001-9005</v>
          </cell>
          <cell r="H123" t="str">
            <v>HOMELAND SECURITY</v>
          </cell>
          <cell r="I123" t="str">
            <v>GRANT-CITY READINESS INT</v>
          </cell>
          <cell r="J123" t="str">
            <v>2104-58001-9005-72-</v>
          </cell>
        </row>
        <row r="124">
          <cell r="B124" t="str">
            <v>6060</v>
          </cell>
          <cell r="C124" t="str">
            <v>GRANT-WIC PROGRAM</v>
          </cell>
          <cell r="D124" t="str">
            <v>108-6060-720</v>
          </cell>
          <cell r="E124">
            <v>2108</v>
          </cell>
          <cell r="F124">
            <v>60060</v>
          </cell>
          <cell r="G124" t="str">
            <v>60060-9064</v>
          </cell>
          <cell r="H124" t="str">
            <v>WIC PROGRAM</v>
          </cell>
          <cell r="I124" t="str">
            <v>GRANT-WIC</v>
          </cell>
          <cell r="J124" t="str">
            <v>2108-60060-9064-72-</v>
          </cell>
        </row>
        <row r="125">
          <cell r="B125" t="str">
            <v>6062</v>
          </cell>
          <cell r="C125" t="str">
            <v>GRANT-COMP HEALTH</v>
          </cell>
          <cell r="D125" t="str">
            <v>108-6062-720</v>
          </cell>
          <cell r="E125">
            <v>2108</v>
          </cell>
          <cell r="F125">
            <v>60001</v>
          </cell>
          <cell r="G125" t="str">
            <v>60001-9065</v>
          </cell>
          <cell r="H125" t="str">
            <v>HEALTHCARE SERVICES</v>
          </cell>
          <cell r="I125" t="str">
            <v>GRANT-COMP HEALTH</v>
          </cell>
          <cell r="J125" t="str">
            <v>2108-60001-9065-72-</v>
          </cell>
        </row>
        <row r="126">
          <cell r="B126" t="str">
            <v>6063</v>
          </cell>
          <cell r="C126" t="str">
            <v>GRANT-TUBERCULOSIS PROGRM</v>
          </cell>
          <cell r="D126" t="str">
            <v>108-6063-720</v>
          </cell>
          <cell r="E126">
            <v>2108</v>
          </cell>
          <cell r="F126">
            <v>60001</v>
          </cell>
          <cell r="G126" t="str">
            <v>60001-9075</v>
          </cell>
          <cell r="H126" t="str">
            <v>HEALTHCARE SERVICES</v>
          </cell>
          <cell r="I126" t="str">
            <v>GRANT-TUBERCULOSIS PROGRAM</v>
          </cell>
          <cell r="J126" t="str">
            <v>2108-60001-9075-72-</v>
          </cell>
        </row>
        <row r="127">
          <cell r="B127" t="str">
            <v>6064</v>
          </cell>
          <cell r="C127" t="str">
            <v>GRANT-IMMUN OUTREACH</v>
          </cell>
          <cell r="D127" t="str">
            <v>108-6064-720</v>
          </cell>
          <cell r="E127">
            <v>2108</v>
          </cell>
          <cell r="F127">
            <v>60001</v>
          </cell>
          <cell r="G127" t="str">
            <v>60001-9088</v>
          </cell>
          <cell r="H127" t="str">
            <v>HEALTHCARE SERVICES</v>
          </cell>
          <cell r="I127" t="str">
            <v>GRANT-IMMUN OUTREACH</v>
          </cell>
          <cell r="J127" t="str">
            <v>2108-60001-9088-72-</v>
          </cell>
        </row>
        <row r="128">
          <cell r="B128" t="str">
            <v>8441</v>
          </cell>
          <cell r="C128" t="str">
            <v>GRANT- CPS LEGAL SERVICES</v>
          </cell>
          <cell r="D128" t="str">
            <v>112-8441-520</v>
          </cell>
          <cell r="E128">
            <v>2112</v>
          </cell>
          <cell r="F128">
            <v>84010</v>
          </cell>
          <cell r="G128" t="str">
            <v>84010-9092</v>
          </cell>
          <cell r="H128" t="str">
            <v>CPS BOARD</v>
          </cell>
          <cell r="I128" t="str">
            <v>GRANT-CPS LEGAL SERVICE</v>
          </cell>
          <cell r="J128" t="str">
            <v>2112-84010-9092-52-</v>
          </cell>
        </row>
        <row r="129">
          <cell r="B129" t="str">
            <v>6066</v>
          </cell>
          <cell r="C129" t="str">
            <v>GRANT-SHOAP</v>
          </cell>
          <cell r="D129" t="str">
            <v>161-6066-720</v>
          </cell>
          <cell r="E129" t="str">
            <v>2761</v>
          </cell>
          <cell r="F129">
            <v>60001</v>
          </cell>
          <cell r="G129" t="str">
            <v>60001-9066</v>
          </cell>
          <cell r="H129" t="str">
            <v>HEALTHCARE SERVICES</v>
          </cell>
          <cell r="I129" t="str">
            <v>GRANT-SHOAP</v>
          </cell>
          <cell r="J129" t="str">
            <v>2761-60001-9066-72-</v>
          </cell>
        </row>
        <row r="130">
          <cell r="B130" t="str">
            <v>6067</v>
          </cell>
          <cell r="C130" t="str">
            <v>GRANT-SUSAN G KOMEN</v>
          </cell>
          <cell r="D130" t="str">
            <v>161-6067-720</v>
          </cell>
          <cell r="E130" t="str">
            <v>2761</v>
          </cell>
          <cell r="F130">
            <v>60001</v>
          </cell>
          <cell r="G130" t="str">
            <v>60001-9078</v>
          </cell>
          <cell r="H130" t="str">
            <v>HEALTHCARE SERVICES</v>
          </cell>
          <cell r="I130" t="str">
            <v>GRANT-SUSAN G KOMEN</v>
          </cell>
          <cell r="J130" t="str">
            <v>2761-60001-9078-72-</v>
          </cell>
        </row>
        <row r="131">
          <cell r="B131" t="str">
            <v>0530</v>
          </cell>
          <cell r="C131" t="str">
            <v>GRANT - CHAPTER 19</v>
          </cell>
          <cell r="D131" t="str">
            <v>180-0530-411</v>
          </cell>
          <cell r="E131" t="str">
            <v>2580</v>
          </cell>
          <cell r="F131">
            <v>5001</v>
          </cell>
          <cell r="G131" t="str">
            <v>05001-9059</v>
          </cell>
          <cell r="H131" t="str">
            <v>ELECTIONS</v>
          </cell>
          <cell r="I131" t="str">
            <v>GRANT-CHAPTER 19</v>
          </cell>
          <cell r="J131" t="str">
            <v>2580-05001-9059-41-</v>
          </cell>
        </row>
        <row r="132">
          <cell r="B132" t="str">
            <v>5124</v>
          </cell>
          <cell r="C132" t="str">
            <v>GRANT-TOBACCO COMP</v>
          </cell>
          <cell r="D132" t="str">
            <v>180-5124-640</v>
          </cell>
          <cell r="E132" t="str">
            <v>2580</v>
          </cell>
          <cell r="F132">
            <v>50001</v>
          </cell>
          <cell r="G132" t="str">
            <v>50001-9041</v>
          </cell>
          <cell r="H132" t="str">
            <v>SHERIFF'S OFFICE</v>
          </cell>
          <cell r="I132" t="str">
            <v>GRANT-TOBACCO COMP</v>
          </cell>
          <cell r="J132" t="str">
            <v>2580-50001-9041-64-</v>
          </cell>
        </row>
        <row r="133">
          <cell r="B133" t="str">
            <v>6020</v>
          </cell>
          <cell r="C133" t="str">
            <v>EMP CLNC-ADMIN</v>
          </cell>
          <cell r="D133" t="str">
            <v>505-6020-882</v>
          </cell>
          <cell r="E133">
            <v>5505</v>
          </cell>
          <cell r="F133">
            <v>60020</v>
          </cell>
          <cell r="G133" t="str">
            <v>60020-0001</v>
          </cell>
          <cell r="H133" t="str">
            <v>HEALTHCARE SERVICES EMP CLINIC</v>
          </cell>
          <cell r="I133" t="str">
            <v>ADMIN</v>
          </cell>
          <cell r="J133" t="str">
            <v>5505-60020-0001-88-</v>
          </cell>
        </row>
        <row r="134">
          <cell r="B134" t="str">
            <v>8301</v>
          </cell>
          <cell r="C134" t="str">
            <v>ANIMAL SHELTER-ADMIN</v>
          </cell>
          <cell r="D134" t="str">
            <v>507-8301-645</v>
          </cell>
          <cell r="E134" t="str">
            <v>5990</v>
          </cell>
          <cell r="F134">
            <v>83001</v>
          </cell>
          <cell r="G134" t="str">
            <v>83001-0001</v>
          </cell>
          <cell r="H134" t="str">
            <v>ANIMAL SHELTER</v>
          </cell>
          <cell r="I134" t="str">
            <v>ADMIN</v>
          </cell>
          <cell r="J134" t="str">
            <v>5990-83001-0001-64-</v>
          </cell>
        </row>
        <row r="135">
          <cell r="B135" t="str">
            <v>8330</v>
          </cell>
          <cell r="C135" t="str">
            <v>ANIMAL CONTROL-ADMIN</v>
          </cell>
          <cell r="D135" t="str">
            <v>507-8330-645</v>
          </cell>
          <cell r="E135" t="str">
            <v>5990</v>
          </cell>
          <cell r="F135">
            <v>83030</v>
          </cell>
          <cell r="G135" t="str">
            <v>83030-0001</v>
          </cell>
          <cell r="H135" t="str">
            <v>ANIMAL CONTROL</v>
          </cell>
          <cell r="I135" t="str">
            <v>ADMIN</v>
          </cell>
          <cell r="J135" t="str">
            <v>5990-83030-0001-64-</v>
          </cell>
        </row>
        <row r="136">
          <cell r="B136" t="str">
            <v>6101</v>
          </cell>
          <cell r="C136" t="str">
            <v>CSCD-BASIC SUPERVISION</v>
          </cell>
          <cell r="D136" t="str">
            <v>650-6101-643</v>
          </cell>
          <cell r="E136">
            <v>6050</v>
          </cell>
          <cell r="F136">
            <v>61001</v>
          </cell>
          <cell r="G136" t="str">
            <v>61001-0053</v>
          </cell>
          <cell r="H136" t="str">
            <v>CSCD</v>
          </cell>
          <cell r="I136" t="str">
            <v>BASIC SUPERVISION</v>
          </cell>
          <cell r="J136" t="str">
            <v>6050-61001-0053-64-</v>
          </cell>
        </row>
        <row r="137">
          <cell r="B137" t="str">
            <v>6190</v>
          </cell>
          <cell r="C137" t="str">
            <v>JUD DIST-TAIP</v>
          </cell>
          <cell r="E137">
            <v>6050</v>
          </cell>
          <cell r="F137">
            <v>61001</v>
          </cell>
          <cell r="G137" t="str">
            <v>61001-9127</v>
          </cell>
          <cell r="H137" t="str">
            <v>CSCD</v>
          </cell>
          <cell r="I137" t="str">
            <v>JUD DIST-TAIP</v>
          </cell>
          <cell r="J137" t="str">
            <v>6050-61001-9127-64-</v>
          </cell>
        </row>
        <row r="138">
          <cell r="B138" t="str">
            <v>6141</v>
          </cell>
          <cell r="C138" t="str">
            <v>CSCD-DP-SC MENTALLY IMPRD</v>
          </cell>
          <cell r="D138" t="str">
            <v>651-6141-643</v>
          </cell>
          <cell r="E138">
            <v>6051</v>
          </cell>
          <cell r="F138">
            <v>61001</v>
          </cell>
          <cell r="G138" t="str">
            <v>61001-9117</v>
          </cell>
          <cell r="H138" t="str">
            <v>CSCD</v>
          </cell>
          <cell r="I138" t="str">
            <v>CSCD-SC MENTALLY IMRD</v>
          </cell>
          <cell r="J138" t="str">
            <v>6051-61001-9117-64-</v>
          </cell>
        </row>
        <row r="139">
          <cell r="B139" t="str">
            <v>6112</v>
          </cell>
          <cell r="C139" t="str">
            <v>CSCD-CCP-NEW CASELOAD RED</v>
          </cell>
          <cell r="D139" t="str">
            <v>652-6112-643</v>
          </cell>
          <cell r="E139">
            <v>6052</v>
          </cell>
          <cell r="F139">
            <v>61001</v>
          </cell>
          <cell r="G139" t="str">
            <v>61001-9114</v>
          </cell>
          <cell r="H139" t="str">
            <v>CSCD</v>
          </cell>
          <cell r="I139" t="str">
            <v>CSCD-NEW CASELOAD</v>
          </cell>
          <cell r="J139" t="str">
            <v>6052-61001-9114-64-</v>
          </cell>
        </row>
        <row r="140">
          <cell r="B140" t="str">
            <v>6110</v>
          </cell>
          <cell r="C140" t="str">
            <v>CSCD-CCP-COMM CORR FAC</v>
          </cell>
          <cell r="D140" t="str">
            <v>653-6110-643</v>
          </cell>
          <cell r="E140">
            <v>6053</v>
          </cell>
          <cell r="F140">
            <v>61001</v>
          </cell>
          <cell r="G140" t="str">
            <v>61001-9112</v>
          </cell>
          <cell r="H140" t="str">
            <v>CSCD</v>
          </cell>
          <cell r="I140" t="str">
            <v>CSCD-COMM CORR FAC</v>
          </cell>
          <cell r="J140" t="str">
            <v>6053-61001-9112-64-</v>
          </cell>
        </row>
        <row r="141">
          <cell r="B141" t="str">
            <v>6140</v>
          </cell>
          <cell r="C141" t="str">
            <v>CSCD-DP-SC SEX OFFENDER</v>
          </cell>
          <cell r="D141" t="str">
            <v>655-6140-643</v>
          </cell>
          <cell r="E141">
            <v>6055</v>
          </cell>
          <cell r="F141">
            <v>61001</v>
          </cell>
          <cell r="G141" t="str">
            <v>61001-9116</v>
          </cell>
          <cell r="H141" t="str">
            <v>CSCD</v>
          </cell>
          <cell r="I141" t="str">
            <v>CSCD-SC SEX OFFENDER</v>
          </cell>
          <cell r="J141" t="str">
            <v>6055-61001-9116-64-</v>
          </cell>
        </row>
        <row r="142">
          <cell r="B142" t="str">
            <v>6142</v>
          </cell>
          <cell r="C142" t="str">
            <v>CSCD-DP-SC YOUTHFUL OFNDR</v>
          </cell>
          <cell r="D142" t="str">
            <v>656-6142-643</v>
          </cell>
          <cell r="E142">
            <v>6056</v>
          </cell>
          <cell r="F142">
            <v>61001</v>
          </cell>
          <cell r="G142" t="str">
            <v>61001-9118</v>
          </cell>
          <cell r="H142" t="str">
            <v>CSCD</v>
          </cell>
          <cell r="I142" t="str">
            <v>CSCD-SC YOUTHFUL OFNDR</v>
          </cell>
          <cell r="J142" t="str">
            <v>6056-61001-9118-64-</v>
          </cell>
        </row>
        <row r="143">
          <cell r="B143" t="str">
            <v>6143</v>
          </cell>
          <cell r="C143" t="str">
            <v>CSCD-DP-SC SUBSTNC ABUSE</v>
          </cell>
          <cell r="D143" t="str">
            <v>658-6143-643</v>
          </cell>
          <cell r="E143">
            <v>6058</v>
          </cell>
          <cell r="F143">
            <v>61001</v>
          </cell>
          <cell r="G143" t="str">
            <v>61001-9156</v>
          </cell>
          <cell r="H143" t="str">
            <v>CSCD</v>
          </cell>
          <cell r="I143" t="str">
            <v>CSCD-DP SC SUBSTNC ABUSE</v>
          </cell>
          <cell r="J143" t="str">
            <v>6058-61001-9156-64-</v>
          </cell>
        </row>
        <row r="144">
          <cell r="B144" t="str">
            <v>6113</v>
          </cell>
          <cell r="C144" t="str">
            <v>CSCD-PERSONAL BOND/SURETY PRGM</v>
          </cell>
          <cell r="D144" t="str">
            <v>659-6113-643</v>
          </cell>
          <cell r="E144">
            <v>6059</v>
          </cell>
          <cell r="F144">
            <v>61001</v>
          </cell>
          <cell r="G144" t="str">
            <v>61001-9115</v>
          </cell>
          <cell r="H144" t="str">
            <v>CSCD</v>
          </cell>
          <cell r="I144" t="str">
            <v>CSCD-PERSONAL BOND/SURETY</v>
          </cell>
          <cell r="J144" t="str">
            <v>6059-61001-9115-64-</v>
          </cell>
        </row>
        <row r="145">
          <cell r="B145" t="str">
            <v>6101</v>
          </cell>
          <cell r="C145" t="str">
            <v>CSCD-PRE TRIAL</v>
          </cell>
          <cell r="E145">
            <v>6060</v>
          </cell>
          <cell r="F145">
            <v>61001</v>
          </cell>
          <cell r="G145" t="str">
            <v>61001-9175</v>
          </cell>
          <cell r="H145" t="str">
            <v>CSCD</v>
          </cell>
          <cell r="I145" t="str">
            <v>CSCD-PERSONAL BOND/SURETY</v>
          </cell>
          <cell r="J145" t="str">
            <v>6060-61001-9175-64-</v>
          </cell>
        </row>
      </sheetData>
      <sheetData sheetId="19" refreshError="1"/>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raised Value"/>
      <sheetName val="Property Tax"/>
      <sheetName val="Tax Rate - 10 yr"/>
      <sheetName val="Tax Rate - by Fund"/>
      <sheetName val="Combined Budget - 10 yr"/>
      <sheetName val="Combined Exp Workshop Chart"/>
      <sheetName val="Combined Revenue - 10 yr"/>
      <sheetName val="Combined Rev Workshop Chart"/>
      <sheetName val="Exp vs Rev Charts"/>
      <sheetName val="Combined Budget - By Function"/>
      <sheetName val="Combined Budget - By Source"/>
      <sheetName val="All Funds Budget"/>
      <sheetName val="Combined Budget - Exp by Fund"/>
      <sheetName val="Combined Budget - Rev by Fund"/>
      <sheetName val="Exp Data"/>
      <sheetName val="Rev Data"/>
      <sheetName val="Exp BUDGET Levels"/>
      <sheetName val="Rev BUDGET Levels"/>
      <sheetName val="SOURCE TABLE"/>
      <sheetName val="Carryforward GL Summary"/>
    </sheetNames>
    <sheetDataSet>
      <sheetData sheetId="0"/>
      <sheetData sheetId="1">
        <row r="6">
          <cell r="I6" t="str">
            <v>% of Total</v>
          </cell>
        </row>
      </sheetData>
      <sheetData sheetId="2"/>
      <sheetData sheetId="3"/>
      <sheetData sheetId="4"/>
      <sheetData sheetId="5" refreshError="1"/>
      <sheetData sheetId="6"/>
      <sheetData sheetId="7" refreshError="1"/>
      <sheetData sheetId="8"/>
      <sheetData sheetId="9"/>
      <sheetData sheetId="10"/>
      <sheetData sheetId="11"/>
      <sheetData sheetId="12"/>
      <sheetData sheetId="13"/>
      <sheetData sheetId="14"/>
      <sheetData sheetId="15"/>
      <sheetData sheetId="16"/>
      <sheetData sheetId="17"/>
      <sheetData sheetId="18">
        <row r="1">
          <cell r="E1" t="str">
            <v>Fund</v>
          </cell>
        </row>
      </sheetData>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 Data"/>
      <sheetName val="FY 2021 Exp Tracking Log"/>
      <sheetName val="Dept Base Budget"/>
      <sheetName val="MasterList Upload"/>
      <sheetName val="New Personnel Upload"/>
      <sheetName val="Existing Personnel Upload"/>
      <sheetName val="Summary by Fund"/>
      <sheetName val="Summary by Budget Category"/>
      <sheetName val="Salary Differences"/>
      <sheetName val="X Column Key"/>
      <sheetName val="Notes"/>
    </sheetNames>
    <sheetDataSet>
      <sheetData sheetId="0"/>
      <sheetData sheetId="1">
        <row r="1">
          <cell r="B1" t="str">
            <v>Full Account</v>
          </cell>
        </row>
      </sheetData>
      <sheetData sheetId="2"/>
      <sheetData sheetId="3"/>
      <sheetData sheetId="4"/>
      <sheetData sheetId="5"/>
      <sheetData sheetId="6"/>
      <sheetData sheetId="7"/>
      <sheetData sheetId="8"/>
      <sheetData sheetId="9">
        <row r="1">
          <cell r="A1" t="str">
            <v>Object</v>
          </cell>
          <cell r="B1" t="str">
            <v>Category</v>
          </cell>
          <cell r="C1" t="str">
            <v>NOT ALLOWED</v>
          </cell>
          <cell r="D1" t="str">
            <v>PeopleSoft</v>
          </cell>
        </row>
        <row r="2">
          <cell r="A2" t="str">
            <v>504010 - SAL/WAGES-REGULAR FULL TIME</v>
          </cell>
          <cell r="B2" t="str">
            <v>10 -  SALARY &amp; BENEFITS</v>
          </cell>
          <cell r="C2" t="str">
            <v>xbase</v>
          </cell>
          <cell r="D2" t="str">
            <v>s</v>
          </cell>
        </row>
        <row r="3">
          <cell r="A3" t="str">
            <v>504011 - SAL/WAGES-REGULAR PART TIME</v>
          </cell>
          <cell r="B3" t="str">
            <v>10 -  SALARY &amp; BENEFITS</v>
          </cell>
          <cell r="C3" t="str">
            <v>xbase</v>
          </cell>
          <cell r="D3" t="str">
            <v>s</v>
          </cell>
        </row>
        <row r="4">
          <cell r="A4" t="str">
            <v>504012 - SAL/WAGES-TEMPORARY FULL TIME</v>
          </cell>
          <cell r="B4" t="str">
            <v>10 -  SALARY &amp; BENEFITS</v>
          </cell>
          <cell r="C4" t="str">
            <v>xbase</v>
          </cell>
          <cell r="D4" t="str">
            <v>s</v>
          </cell>
        </row>
        <row r="5">
          <cell r="A5" t="str">
            <v>504013 - SAL/WAGES-TEMPORARY PART TIME</v>
          </cell>
          <cell r="B5" t="str">
            <v>10 -  SALARY &amp; BENEFITS</v>
          </cell>
          <cell r="C5" t="str">
            <v>xbase</v>
          </cell>
          <cell r="D5" t="str">
            <v>s</v>
          </cell>
        </row>
        <row r="6">
          <cell r="A6" t="str">
            <v>504014 - SAL/WAGES-OTHER WAGES</v>
          </cell>
          <cell r="B6" t="str">
            <v>10 -  SALARY &amp; BENEFITS</v>
          </cell>
          <cell r="C6" t="str">
            <v>xbase</v>
          </cell>
        </row>
        <row r="7">
          <cell r="A7" t="str">
            <v>504015 - SAL/WAGES-OVERTIME</v>
          </cell>
          <cell r="B7" t="str">
            <v>10 -  SALARY &amp; BENEFITS</v>
          </cell>
          <cell r="C7" t="str">
            <v>xbase</v>
          </cell>
        </row>
        <row r="8">
          <cell r="A8" t="str">
            <v>504016 - SAL/WAGES-SHIFT DIFFERENTIAL</v>
          </cell>
          <cell r="B8" t="str">
            <v>10 -  SALARY &amp; BENEFITS</v>
          </cell>
          <cell r="C8" t="str">
            <v>xbase</v>
          </cell>
        </row>
        <row r="9">
          <cell r="A9" t="str">
            <v>504018 - SAL/WAGES-GRAND JURY BAILIFF</v>
          </cell>
          <cell r="B9" t="str">
            <v>10 -  SALARY &amp; BENEFITS</v>
          </cell>
          <cell r="C9" t="str">
            <v>xbase</v>
          </cell>
        </row>
        <row r="10">
          <cell r="A10" t="str">
            <v>504019 - SAL/WAGES-STATEMENT OF FACTS</v>
          </cell>
          <cell r="B10" t="str">
            <v>10 -  SALARY &amp; BENEFITS</v>
          </cell>
          <cell r="C10" t="str">
            <v>xbase</v>
          </cell>
        </row>
        <row r="11">
          <cell r="A11" t="str">
            <v>504020 - SAL/WAGES-CERTIFICATION PAY</v>
          </cell>
          <cell r="B11" t="str">
            <v>10 -  SALARY &amp; BENEFITS</v>
          </cell>
          <cell r="C11" t="str">
            <v>xbase</v>
          </cell>
        </row>
        <row r="12">
          <cell r="A12" t="str">
            <v>504021 - SAL/WAGES-ELEC JUDGES/CLERKS</v>
          </cell>
          <cell r="B12" t="str">
            <v>10 -  SALARY &amp; BENEFITS</v>
          </cell>
          <cell r="C12" t="str">
            <v>xbase</v>
          </cell>
        </row>
        <row r="13">
          <cell r="A13" t="str">
            <v>504022 - SAL/WAGES-SPECIAL UNITS PAY</v>
          </cell>
          <cell r="B13" t="str">
            <v>10 -  SALARY &amp; BENEFITS</v>
          </cell>
          <cell r="C13" t="str">
            <v>xbase</v>
          </cell>
        </row>
        <row r="14">
          <cell r="A14" t="str">
            <v>504071 - SAL/WAGES-JAIL ARRAIGNMENTS</v>
          </cell>
          <cell r="B14" t="str">
            <v>10 -  SALARY &amp; BENEFITS</v>
          </cell>
          <cell r="C14" t="str">
            <v>xbase</v>
          </cell>
        </row>
        <row r="15">
          <cell r="A15" t="str">
            <v>514101 - TFB-LONGEVITY</v>
          </cell>
          <cell r="B15" t="str">
            <v>10 -  SALARY &amp; BENEFITS</v>
          </cell>
          <cell r="C15" t="str">
            <v>xbase</v>
          </cell>
          <cell r="D15" t="str">
            <v>s</v>
          </cell>
        </row>
        <row r="16">
          <cell r="A16" t="str">
            <v>514104 - TFB-MERIT PAY</v>
          </cell>
          <cell r="B16" t="str">
            <v>10 -  SALARY &amp; BENEFITS</v>
          </cell>
          <cell r="C16" t="str">
            <v>xbase</v>
          </cell>
        </row>
        <row r="17">
          <cell r="A17" t="str">
            <v>514107 - TFB-COMP TIME BUYOUT</v>
          </cell>
          <cell r="B17" t="str">
            <v>10 -  SALARY &amp; BENEFITS</v>
          </cell>
          <cell r="C17" t="str">
            <v>xbase</v>
          </cell>
        </row>
        <row r="18">
          <cell r="A18" t="str">
            <v>514109 - TFB-PTO BUYOUT</v>
          </cell>
          <cell r="B18" t="str">
            <v>10 -  SALARY &amp; BENEFITS</v>
          </cell>
          <cell r="C18" t="str">
            <v>xbase</v>
          </cell>
        </row>
        <row r="19">
          <cell r="A19" t="str">
            <v>514116 - TFB-COLLEGE EDUCATION REIMB</v>
          </cell>
          <cell r="B19" t="str">
            <v>10 -  SALARY &amp; BENEFITS</v>
          </cell>
          <cell r="C19" t="str">
            <v>xzero</v>
          </cell>
        </row>
        <row r="20">
          <cell r="A20" t="str">
            <v>514117 - TFB-DAY TRAVEL MEALS REIMB</v>
          </cell>
          <cell r="B20" t="str">
            <v>10 -  SALARY &amp; BENEFITS</v>
          </cell>
          <cell r="C20" t="str">
            <v>xbase</v>
          </cell>
        </row>
        <row r="21">
          <cell r="A21" t="str">
            <v>514170 - TFB-AUTO ALLOWANCE</v>
          </cell>
          <cell r="B21" t="str">
            <v>10 -  SALARY &amp; BENEFITS</v>
          </cell>
          <cell r="C21" t="str">
            <v>xbase</v>
          </cell>
        </row>
        <row r="22">
          <cell r="A22" t="str">
            <v>514172 - TFB-TOOL ALLOWANCE</v>
          </cell>
          <cell r="B22" t="str">
            <v>10 -  SALARY &amp; BENEFITS</v>
          </cell>
          <cell r="C22" t="str">
            <v>xbase</v>
          </cell>
        </row>
        <row r="23">
          <cell r="A23" t="str">
            <v>524216 - NTF-COLLEGE EDUCATION REIMB</v>
          </cell>
          <cell r="B23" t="str">
            <v>10 -  SALARY &amp; BENEFITS</v>
          </cell>
          <cell r="C23" t="str">
            <v>xzero</v>
          </cell>
        </row>
        <row r="24">
          <cell r="A24" t="str">
            <v>524220 - NTF-FICA/MEDICARE</v>
          </cell>
          <cell r="B24" t="str">
            <v>10 -  SALARY &amp; BENEFITS</v>
          </cell>
          <cell r="C24" t="str">
            <v>xbase</v>
          </cell>
          <cell r="D24" t="str">
            <v>s</v>
          </cell>
        </row>
        <row r="25">
          <cell r="A25" t="str">
            <v>524230 - NTF-EMPLOYEE HEALTH INSURANCE</v>
          </cell>
          <cell r="B25" t="str">
            <v>10 -  SALARY &amp; BENEFITS</v>
          </cell>
          <cell r="C25" t="str">
            <v>xbase</v>
          </cell>
          <cell r="D25" t="str">
            <v>s</v>
          </cell>
        </row>
        <row r="26">
          <cell r="A26" t="str">
            <v>524235 - NTF-LONG-TERM DISABILITY</v>
          </cell>
          <cell r="B26" t="str">
            <v>10 -  SALARY &amp; BENEFITS</v>
          </cell>
          <cell r="C26" t="str">
            <v>xbase</v>
          </cell>
          <cell r="D26" t="str">
            <v>s</v>
          </cell>
        </row>
        <row r="27">
          <cell r="A27" t="str">
            <v>524236 - NTF-SHORT-TERM DISABILITY</v>
          </cell>
          <cell r="B27" t="str">
            <v>10 -  SALARY &amp; BENEFITS</v>
          </cell>
          <cell r="C27" t="str">
            <v>xbase</v>
          </cell>
          <cell r="D27" t="str">
            <v>s</v>
          </cell>
        </row>
        <row r="28">
          <cell r="A28" t="str">
            <v>524237 - NTF-LONG-TERM CARE</v>
          </cell>
          <cell r="B28" t="str">
            <v>10 -  SALARY &amp; BENEFITS</v>
          </cell>
          <cell r="C28" t="str">
            <v>xbase</v>
          </cell>
          <cell r="D28" t="str">
            <v>s</v>
          </cell>
        </row>
        <row r="29">
          <cell r="A29" t="str">
            <v>524240 - NTF-RETIREMENT</v>
          </cell>
          <cell r="B29" t="str">
            <v>10 -  SALARY &amp; BENEFITS</v>
          </cell>
          <cell r="C29" t="str">
            <v>xbase</v>
          </cell>
          <cell r="D29" t="str">
            <v>s</v>
          </cell>
        </row>
        <row r="30">
          <cell r="A30" t="str">
            <v>524245 - NTF-SUPPLEMENTAL DEATH BENEFT</v>
          </cell>
          <cell r="B30" t="str">
            <v>10 -  SALARY &amp; BENEFITS</v>
          </cell>
          <cell r="C30" t="str">
            <v>xbase</v>
          </cell>
          <cell r="D30" t="str">
            <v>s</v>
          </cell>
        </row>
        <row r="31">
          <cell r="A31" t="str">
            <v>524250 - NTF-WORKERS' COMPENSATION</v>
          </cell>
          <cell r="B31" t="str">
            <v>10 -  SALARY &amp; BENEFITS</v>
          </cell>
          <cell r="C31" t="str">
            <v>xbase</v>
          </cell>
        </row>
        <row r="32">
          <cell r="A32" t="str">
            <v>524260 - NTF-UNEMPLOYMENT INSURANCE</v>
          </cell>
          <cell r="B32" t="str">
            <v>10 -  SALARY &amp; BENEFITS</v>
          </cell>
          <cell r="C32" t="str">
            <v>xbase</v>
          </cell>
          <cell r="D32" t="str">
            <v>s</v>
          </cell>
        </row>
        <row r="33">
          <cell r="A33" t="str">
            <v>524299 - NTF-GRANT BUDGET ADJUSTMENT</v>
          </cell>
          <cell r="B33" t="str">
            <v>10 -  SALARY &amp; BENEFITS</v>
          </cell>
          <cell r="C33" t="str">
            <v>xbase</v>
          </cell>
        </row>
        <row r="34">
          <cell r="A34" t="str">
            <v>534301 - OTHER LABOR-CONTRACT LABOR</v>
          </cell>
          <cell r="B34" t="str">
            <v>10 -  SALARY &amp; BENEFITS</v>
          </cell>
          <cell r="C34" t="str">
            <v>xbase</v>
          </cell>
        </row>
        <row r="35">
          <cell r="A35" t="str">
            <v>604901 - TRN/TVL-TRAVEL REIMBURSEMENT</v>
          </cell>
          <cell r="B35" t="str">
            <v>20 -  TRAINING &amp; TRAVEL</v>
          </cell>
        </row>
        <row r="36">
          <cell r="A36" t="str">
            <v>604910 - TRN/TVL-EDUCATION &amp; CONFERENCE</v>
          </cell>
          <cell r="B36" t="str">
            <v>20 -  TRAINING &amp; TRAVEL</v>
          </cell>
        </row>
        <row r="37">
          <cell r="A37" t="str">
            <v>604920 - TRN/TVL-IN-HOUSE TRAINING</v>
          </cell>
          <cell r="B37" t="str">
            <v>20 -  TRAINING &amp; TRAVEL</v>
          </cell>
        </row>
        <row r="38">
          <cell r="A38" t="str">
            <v>604922 - TRN/TVL-DEATH INVESTIGATOR</v>
          </cell>
          <cell r="B38" t="str">
            <v>20 -  TRAINING &amp; TRAVEL</v>
          </cell>
        </row>
        <row r="39">
          <cell r="A39" t="str">
            <v>604925 - TRN/TVL-INVESTIGATOR</v>
          </cell>
          <cell r="B39" t="str">
            <v>20 -  TRAINING &amp; TRAVEL</v>
          </cell>
        </row>
        <row r="40">
          <cell r="A40" t="str">
            <v>604926 - TRN/TVL-INHOUSE TRNG SUP CSCD</v>
          </cell>
          <cell r="B40" t="str">
            <v>20 -  TRAINING &amp; TRAVEL</v>
          </cell>
        </row>
        <row r="41">
          <cell r="A41" t="str">
            <v>604930 - TRN/TVL-ARMS TRAINING</v>
          </cell>
          <cell r="B41" t="str">
            <v>20 -  TRAINING &amp; TRAVEL</v>
          </cell>
        </row>
        <row r="42">
          <cell r="A42" t="str">
            <v>604961 - TRN/TVL-EXTERNAL TRAINING</v>
          </cell>
          <cell r="B42" t="str">
            <v>20 -  TRAINING &amp; TRAVEL</v>
          </cell>
        </row>
        <row r="43">
          <cell r="A43" t="str">
            <v>604990 - TRN/TVL-REGISTRATION/GRANT</v>
          </cell>
          <cell r="B43" t="str">
            <v>20 -  TRAINING &amp; TRAVEL</v>
          </cell>
        </row>
        <row r="44">
          <cell r="A44" t="str">
            <v>604991 - TRN/TVL-IN-HOUSE TRAINER</v>
          </cell>
          <cell r="B44" t="str">
            <v>20 -  TRAINING &amp; TRAVEL</v>
          </cell>
        </row>
        <row r="45">
          <cell r="A45" t="str">
            <v>615101 - ADMIN-OFFICE SUPPLIES</v>
          </cell>
          <cell r="B45" t="str">
            <v>30 -  MAINTENANCE &amp; OPERATIONS</v>
          </cell>
        </row>
        <row r="46">
          <cell r="A46" t="str">
            <v>615102 - ADMIN-COMPUTER SUPPLIES</v>
          </cell>
          <cell r="B46" t="str">
            <v>30 -  MAINTENANCE &amp; OPERATIONS</v>
          </cell>
        </row>
        <row r="47">
          <cell r="A47" t="str">
            <v>615103 - ADMIN-COPIER SUPPLIES</v>
          </cell>
          <cell r="B47" t="str">
            <v>30 -  MAINTENANCE &amp; OPERATIONS</v>
          </cell>
        </row>
        <row r="48">
          <cell r="A48" t="str">
            <v>615104 - ADMIN-FAX SUPPLIES</v>
          </cell>
          <cell r="B48" t="str">
            <v>30 -  MAINTENANCE &amp; OPERATIONS</v>
          </cell>
        </row>
        <row r="49">
          <cell r="A49" t="str">
            <v>615105 - ADMIN-PHONE SUPPLIES</v>
          </cell>
          <cell r="B49" t="str">
            <v>30 -  MAINTENANCE &amp; OPERATIONS</v>
          </cell>
        </row>
        <row r="50">
          <cell r="A50" t="str">
            <v>615106 - ADMIN-STORAGE SUPPLIES</v>
          </cell>
          <cell r="B50" t="str">
            <v>30 -  MAINTENANCE &amp; OPERATIONS</v>
          </cell>
        </row>
        <row r="51">
          <cell r="A51" t="str">
            <v>615107 - ADMIN-CONCESSION SUPPLIES</v>
          </cell>
          <cell r="B51" t="str">
            <v>30 -  MAINTENANCE &amp; OPERATIONS</v>
          </cell>
        </row>
        <row r="52">
          <cell r="A52" t="str">
            <v>615511 - ADMIN-DUES &amp; SUBSCR LOBBYING</v>
          </cell>
          <cell r="B52" t="str">
            <v>30 -  MAINTENANCE &amp; OPERATIONS</v>
          </cell>
        </row>
        <row r="53">
          <cell r="A53" t="str">
            <v>615199 - ADMIN-OVER/UNDER</v>
          </cell>
          <cell r="B53" t="str">
            <v>30 -  MAINTENANCE &amp; OPERATIONS</v>
          </cell>
          <cell r="C53" t="str">
            <v>xzero</v>
          </cell>
        </row>
        <row r="54">
          <cell r="A54" t="str">
            <v>615201 - ADMIN-EXTRAORD OFFICE SUPPLIES</v>
          </cell>
          <cell r="B54" t="str">
            <v>30 -  MAINTENANCE &amp; OPERATIONS</v>
          </cell>
          <cell r="C54" t="str">
            <v>xzero</v>
          </cell>
        </row>
        <row r="55">
          <cell r="A55" t="str">
            <v>615202 - ADMIN-EXTRAORD COMPUTER SUPPLY</v>
          </cell>
          <cell r="B55" t="str">
            <v>30 -  MAINTENANCE &amp; OPERATIONS</v>
          </cell>
          <cell r="C55" t="str">
            <v>xzero</v>
          </cell>
        </row>
        <row r="56">
          <cell r="A56" t="str">
            <v>615204 - ADMIN-EXTRAORD FAX SUPPLIES</v>
          </cell>
          <cell r="B56" t="str">
            <v>30 -  MAINTENANCE &amp; OPERATIONS</v>
          </cell>
          <cell r="C56" t="str">
            <v>xzero</v>
          </cell>
        </row>
        <row r="57">
          <cell r="A57" t="str">
            <v>615205 - ADMIN-EXTRAORD PHONE SUPPLIES</v>
          </cell>
          <cell r="B57" t="str">
            <v>30 -  MAINTENANCE &amp; OPERATIONS</v>
          </cell>
          <cell r="C57" t="str">
            <v>xzero</v>
          </cell>
        </row>
        <row r="58">
          <cell r="A58" t="str">
            <v>615301 - ADMIN-FISCAL FEES</v>
          </cell>
          <cell r="B58" t="str">
            <v>30 -  MAINTENANCE &amp; OPERATIONS</v>
          </cell>
        </row>
        <row r="59">
          <cell r="A59" t="str">
            <v>615401 - ADMIN-LEGAL EXPENSE</v>
          </cell>
          <cell r="B59" t="str">
            <v>30 -  MAINTENANCE &amp; OPERATIONS</v>
          </cell>
        </row>
        <row r="60">
          <cell r="A60" t="str">
            <v>615402 - ADMIN-INDEXING SERVICE</v>
          </cell>
          <cell r="B60" t="str">
            <v>30 -  MAINTENANCE &amp; OPERATIONS</v>
          </cell>
        </row>
        <row r="61">
          <cell r="A61" t="str">
            <v>615405 - ADMIN-POSTAGE SERVICE</v>
          </cell>
          <cell r="B61" t="str">
            <v>30 -  MAINTENANCE &amp; OPERATIONS</v>
          </cell>
        </row>
        <row r="62">
          <cell r="A62" t="str">
            <v>615406 - ADMIN-SPECIAL DELIVERY SERVICE</v>
          </cell>
          <cell r="B62" t="str">
            <v>30 -  MAINTENANCE &amp; OPERATIONS</v>
          </cell>
        </row>
        <row r="63">
          <cell r="A63" t="str">
            <v>615407 - ADMIN-COURIER SERVICE</v>
          </cell>
          <cell r="B63" t="str">
            <v>30 -  MAINTENANCE &amp; OPERATIONS</v>
          </cell>
        </row>
        <row r="64">
          <cell r="A64" t="str">
            <v>615501 - ADMIN-COMPUTER SOFTWARE</v>
          </cell>
          <cell r="B64" t="str">
            <v>30 -  MAINTENANCE &amp; OPERATIONS</v>
          </cell>
          <cell r="C64" t="str">
            <v>xzero</v>
          </cell>
        </row>
        <row r="65">
          <cell r="A65" t="str">
            <v>615502 - ADMIN-POSTAGE</v>
          </cell>
          <cell r="B65" t="str">
            <v>30 -  MAINTENANCE &amp; OPERATIONS</v>
          </cell>
        </row>
        <row r="66">
          <cell r="A66" t="str">
            <v>615503 - ADMIN-SERVICE AWARDS</v>
          </cell>
          <cell r="B66" t="str">
            <v>30 -  MAINTENANCE &amp; OPERATIONS</v>
          </cell>
        </row>
        <row r="67">
          <cell r="A67" t="str">
            <v>615504 - ADMIN-SURETY BONDS</v>
          </cell>
          <cell r="B67" t="str">
            <v>30 -  MAINTENANCE &amp; OPERATIONS</v>
          </cell>
        </row>
        <row r="68">
          <cell r="A68" t="str">
            <v>615505 - ADMIN-COPIER RENTAL</v>
          </cell>
          <cell r="B68" t="str">
            <v>30 -  MAINTENANCE &amp; OPERATIONS</v>
          </cell>
        </row>
        <row r="69">
          <cell r="A69" t="str">
            <v>615510 - ADMIN-DUES &amp; SUBSCRIPTIONS</v>
          </cell>
          <cell r="B69" t="str">
            <v>30 -  MAINTENANCE &amp; OPERATIONS</v>
          </cell>
        </row>
        <row r="70">
          <cell r="A70" t="str">
            <v>615599 - ADMIN-OVER/UNDER</v>
          </cell>
          <cell r="B70" t="str">
            <v>30 -  MAINTENANCE &amp; OPERATIONS</v>
          </cell>
          <cell r="C70" t="str">
            <v>xzero</v>
          </cell>
        </row>
        <row r="71">
          <cell r="A71" t="str">
            <v>615901 - ADMIN-WORKERS' COMP PREMIUMS</v>
          </cell>
          <cell r="B71" t="str">
            <v>30 -  MAINTENANCE &amp; OPERATIONS</v>
          </cell>
        </row>
        <row r="72">
          <cell r="A72" t="str">
            <v>615902 - ADMIN-WORKERS' COMP RESERVES</v>
          </cell>
          <cell r="B72" t="str">
            <v>30 -  MAINTENANCE &amp; OPERATIONS</v>
          </cell>
        </row>
        <row r="73">
          <cell r="A73" t="str">
            <v>615903 - ADMIN-LIABILITY INS RESERVES</v>
          </cell>
          <cell r="B73" t="str">
            <v>30 -  MAINTENANCE &amp; OPERATIONS</v>
          </cell>
        </row>
        <row r="74">
          <cell r="A74" t="str">
            <v>615904 - ADMIN-HEALTH INSURANCE</v>
          </cell>
          <cell r="B74" t="str">
            <v>30 -  MAINTENANCE &amp; OPERATIONS</v>
          </cell>
        </row>
        <row r="75">
          <cell r="A75" t="str">
            <v>615905 - ADMIN-OTHER INSURANCE PREMIUMS</v>
          </cell>
          <cell r="B75" t="str">
            <v>30 -  MAINTENANCE &amp; OPERATIONS</v>
          </cell>
        </row>
        <row r="76">
          <cell r="A76" t="str">
            <v>615906 - ADMIN-AUTO LIABILITY CLAIMS</v>
          </cell>
          <cell r="B76" t="str">
            <v>30 -  MAINTENANCE &amp; OPERATIONS</v>
          </cell>
        </row>
        <row r="77">
          <cell r="A77" t="str">
            <v>615907 - ADMIN-PROPERTY DAMAGE CLAIMS</v>
          </cell>
          <cell r="B77" t="str">
            <v>30 -  MAINTENANCE &amp; OPERATIONS</v>
          </cell>
        </row>
        <row r="78">
          <cell r="A78" t="str">
            <v>615908 - ADMIN-PROPERTY THEFT CLAIMS</v>
          </cell>
          <cell r="B78" t="str">
            <v>30 -  MAINTENANCE &amp; OPERATIONS</v>
          </cell>
        </row>
        <row r="79">
          <cell r="A79" t="str">
            <v>615909 - ADMIN-AUTO &amp; EQUIP GLASS CLAIM</v>
          </cell>
          <cell r="B79" t="str">
            <v>30 -  MAINTENANCE &amp; OPERATIONS</v>
          </cell>
        </row>
        <row r="80">
          <cell r="A80" t="str">
            <v>615910 - ADMIN-GENERAL LIABILITY CLAIMS</v>
          </cell>
          <cell r="B80" t="str">
            <v>30 -  MAINTENANCE &amp; OPERATIONS</v>
          </cell>
        </row>
        <row r="81">
          <cell r="A81" t="str">
            <v>615911 - ADMIN-OPEB FUNDING</v>
          </cell>
          <cell r="B81" t="str">
            <v>30 -  MAINTENANCE &amp; OPERATIONS</v>
          </cell>
        </row>
        <row r="82">
          <cell r="A82" t="str">
            <v>615912 - ADMIN-PUBLIC OFFICIAL CLAIMS</v>
          </cell>
          <cell r="B82" t="str">
            <v>30 -  MAINTENANCE &amp; OPERATIONS</v>
          </cell>
        </row>
        <row r="83">
          <cell r="A83" t="str">
            <v>615913 - ADMIN-TEC REIMBURSEMENTS</v>
          </cell>
          <cell r="B83" t="str">
            <v>30 -  MAINTENANCE &amp; OPERATIONS</v>
          </cell>
        </row>
        <row r="84">
          <cell r="A84" t="str">
            <v>615914 - ADMIN-MEDICAL CLAIMS</v>
          </cell>
          <cell r="B84" t="str">
            <v>30 -  MAINTENANCE &amp; OPERATIONS</v>
          </cell>
        </row>
        <row r="85">
          <cell r="A85" t="str">
            <v>615915 - ADMIN-WAGE BENEFITS</v>
          </cell>
          <cell r="B85" t="str">
            <v>30 -  MAINTENANCE &amp; OPERATIONS</v>
          </cell>
        </row>
        <row r="86">
          <cell r="A86" t="str">
            <v>615916 - ADMIN-OPTIONAL LIFE PREMIUMS</v>
          </cell>
          <cell r="B86" t="str">
            <v>30 -  MAINTENANCE &amp; OPERATIONS</v>
          </cell>
        </row>
        <row r="87">
          <cell r="A87" t="str">
            <v>615917 - ADMIN-HEALTHCARE INSURANCE</v>
          </cell>
          <cell r="B87" t="str">
            <v>30 -  MAINTENANCE &amp; OPERATIONS</v>
          </cell>
        </row>
        <row r="88">
          <cell r="A88" t="str">
            <v>615918 - ADMIN-FLEX REIMBURSEMENTS</v>
          </cell>
          <cell r="B88" t="str">
            <v>30 -  MAINTENANCE &amp; OPERATIONS</v>
          </cell>
        </row>
        <row r="89">
          <cell r="A89" t="str">
            <v>615920 - ADMIN-STOP LOSS PREMIUM</v>
          </cell>
          <cell r="B89" t="str">
            <v>30 -  MAINTENANCE &amp; OPERATIONS</v>
          </cell>
        </row>
        <row r="90">
          <cell r="A90" t="str">
            <v>615921 - ADMIN-PRESCRIPTION CLAIMS</v>
          </cell>
          <cell r="B90" t="str">
            <v>30 -  MAINTENANCE &amp; OPERATIONS</v>
          </cell>
        </row>
        <row r="91">
          <cell r="A91" t="str">
            <v>615922 - ADMIN-LONG TERM DISAB ADMIN</v>
          </cell>
          <cell r="B91" t="str">
            <v>30 -  MAINTENANCE &amp; OPERATIONS</v>
          </cell>
        </row>
        <row r="92">
          <cell r="A92" t="str">
            <v>615923 - ADMIN-SHORT TERM DISAB ADMIN</v>
          </cell>
          <cell r="B92" t="str">
            <v>30 -  MAINTENANCE &amp; OPERATIONS</v>
          </cell>
        </row>
        <row r="93">
          <cell r="A93" t="str">
            <v>615924 - ADMIN-LONG-TERM CARE</v>
          </cell>
          <cell r="B93" t="str">
            <v>30 -  MAINTENANCE &amp; OPERATIONS</v>
          </cell>
        </row>
        <row r="94">
          <cell r="A94" t="str">
            <v>615925 - ADMIN-INSURANCE CLAIMS</v>
          </cell>
          <cell r="B94" t="str">
            <v>30 -  MAINTENANCE &amp; OPERATIONS</v>
          </cell>
        </row>
        <row r="95">
          <cell r="A95" t="str">
            <v>615926 - ADMIN-EMPLOYEE WELLNESS</v>
          </cell>
          <cell r="B95" t="str">
            <v>30 -  MAINTENANCE &amp; OPERATIONS</v>
          </cell>
        </row>
        <row r="96">
          <cell r="A96" t="str">
            <v>615927 - ADMIN-PRE-PAID LEGAL</v>
          </cell>
          <cell r="B96" t="str">
            <v>30 -  MAINTENANCE &amp; OPERATIONS</v>
          </cell>
        </row>
        <row r="97">
          <cell r="A97" t="str">
            <v>615928 - ADMIN-LAW ENFORCEMENT CLAIMS</v>
          </cell>
          <cell r="B97" t="str">
            <v>30 -  MAINTENANCE &amp; OPERATIONS</v>
          </cell>
        </row>
        <row r="98">
          <cell r="A98" t="str">
            <v>615929 - ADMIN-RETIREE HEALTH CLAIMS</v>
          </cell>
          <cell r="B98" t="str">
            <v>30 -  MAINTENANCE &amp; OPERATIONS</v>
          </cell>
        </row>
        <row r="99">
          <cell r="A99" t="str">
            <v>615930 - ADMIN-STD/LTD CLAIMS</v>
          </cell>
          <cell r="B99" t="str">
            <v>30 -  MAINTENANCE &amp; OPERATIONS</v>
          </cell>
        </row>
        <row r="100">
          <cell r="A100" t="str">
            <v>615959 - ADMIN-FEDERAL GOV ADMIN FEES</v>
          </cell>
          <cell r="B100" t="str">
            <v>30 -  MAINTENANCE &amp; OPERATIONS</v>
          </cell>
        </row>
        <row r="101">
          <cell r="A101" t="str">
            <v>615960 - ADMIN-INSURANCE ADMIN FEES</v>
          </cell>
          <cell r="B101" t="str">
            <v>30 -  MAINTENANCE &amp; OPERATIONS</v>
          </cell>
        </row>
        <row r="102">
          <cell r="A102" t="str">
            <v>615961 - ADMIN-RETIREE PRESCRIPT CLMS</v>
          </cell>
          <cell r="B102" t="str">
            <v>30 -  MAINTENANCE &amp; OPERATIONS</v>
          </cell>
        </row>
        <row r="103">
          <cell r="A103" t="str">
            <v>626101 - OPER-FUEL</v>
          </cell>
          <cell r="B103" t="str">
            <v>30 -  MAINTENANCE &amp; OPERATIONS</v>
          </cell>
        </row>
        <row r="104">
          <cell r="A104" t="str">
            <v>626102 - OPER-CHOICES PROGRAM SUPPLIES</v>
          </cell>
          <cell r="B104" t="str">
            <v>30 -  MAINTENANCE &amp; OPERATIONS</v>
          </cell>
        </row>
        <row r="105">
          <cell r="A105" t="str">
            <v>626103 - OPER-CRIME PREVENTION SUPPLIES</v>
          </cell>
          <cell r="B105" t="str">
            <v>30 -  MAINTENANCE &amp; OPERATIONS</v>
          </cell>
        </row>
        <row r="106">
          <cell r="A106" t="str">
            <v>626104 - OPER-DETENTION SUPPLIES</v>
          </cell>
          <cell r="B106" t="str">
            <v>30 -  MAINTENANCE &amp; OPERATIONS</v>
          </cell>
        </row>
        <row r="107">
          <cell r="A107" t="str">
            <v>626105 - OPER-DOCKET SUPPLIES</v>
          </cell>
          <cell r="B107" t="str">
            <v>30 -  MAINTENANCE &amp; OPERATIONS</v>
          </cell>
        </row>
        <row r="108">
          <cell r="A108" t="str">
            <v>626106 - OPER-DRAFTING SUPPLIES</v>
          </cell>
          <cell r="B108" t="str">
            <v>30 -  MAINTENANCE &amp; OPERATIONS</v>
          </cell>
        </row>
        <row r="109">
          <cell r="A109" t="str">
            <v>626107 - OPER-EDUCATION SUPPLIES</v>
          </cell>
          <cell r="B109" t="str">
            <v>30 -  MAINTENANCE &amp; OPERATIONS</v>
          </cell>
        </row>
        <row r="110">
          <cell r="A110" t="str">
            <v>626108 - OPER-ELECTION SUPPLIES</v>
          </cell>
          <cell r="B110" t="str">
            <v>30 -  MAINTENANCE &amp; OPERATIONS</v>
          </cell>
        </row>
        <row r="111">
          <cell r="A111" t="str">
            <v>626109 - OPER-FARM SUPPLIES</v>
          </cell>
          <cell r="B111" t="str">
            <v>30 -  MAINTENANCE &amp; OPERATIONS</v>
          </cell>
        </row>
        <row r="112">
          <cell r="A112" t="str">
            <v>626110 - OPER-FOOD SUPPLIES</v>
          </cell>
          <cell r="B112" t="str">
            <v>30 -  MAINTENANCE &amp; OPERATIONS</v>
          </cell>
        </row>
        <row r="113">
          <cell r="A113" t="str">
            <v>626112 - OPER-PATROL SUPPLIES</v>
          </cell>
          <cell r="B113" t="str">
            <v>30 -  MAINTENANCE &amp; OPERATIONS</v>
          </cell>
        </row>
        <row r="114">
          <cell r="A114" t="str">
            <v>626113 - OPER-IMMUNIZATION SUPPLIES</v>
          </cell>
          <cell r="B114" t="str">
            <v>30 -  MAINTENANCE &amp; OPERATIONS</v>
          </cell>
        </row>
        <row r="115">
          <cell r="A115" t="str">
            <v>626115 - OPER-KITCHEN SUPPLIES</v>
          </cell>
          <cell r="B115" t="str">
            <v>30 -  MAINTENANCE &amp; OPERATIONS</v>
          </cell>
        </row>
        <row r="116">
          <cell r="A116" t="str">
            <v>626116 - OPER-LAB SUPPLIES</v>
          </cell>
          <cell r="B116" t="str">
            <v>30 -  MAINTENANCE &amp; OPERATIONS</v>
          </cell>
        </row>
        <row r="117">
          <cell r="A117" t="str">
            <v>626117 - OPER-MEDICAL SUPPLIES</v>
          </cell>
          <cell r="B117" t="str">
            <v>30 -  MAINTENANCE &amp; OPERATIONS</v>
          </cell>
        </row>
        <row r="118">
          <cell r="A118" t="str">
            <v>626118 - OPER-MICROFILM SUPPLIES</v>
          </cell>
          <cell r="B118" t="str">
            <v>30 -  MAINTENANCE &amp; OPERATIONS</v>
          </cell>
        </row>
        <row r="119">
          <cell r="A119" t="str">
            <v>626120 - OPER-PHOTO SUPPLIES</v>
          </cell>
          <cell r="B119" t="str">
            <v>30 -  MAINTENANCE &amp; OPERATIONS</v>
          </cell>
        </row>
        <row r="120">
          <cell r="A120" t="str">
            <v>626121 - OPER-RADIO SUPPLIES</v>
          </cell>
          <cell r="B120" t="str">
            <v>30 -  MAINTENANCE &amp; OPERATIONS</v>
          </cell>
        </row>
        <row r="121">
          <cell r="A121" t="str">
            <v>626122 - OPER-HOME DEMONSTRATION SUPPLI</v>
          </cell>
          <cell r="B121" t="str">
            <v>30 -  MAINTENANCE &amp; OPERATIONS</v>
          </cell>
        </row>
        <row r="122">
          <cell r="A122" t="str">
            <v>626123 - OPER-SAFETY SUPPLIES</v>
          </cell>
          <cell r="B122" t="str">
            <v>30 -  MAINTENANCE &amp; OPERATIONS</v>
          </cell>
        </row>
        <row r="123">
          <cell r="A123" t="str">
            <v>626126 - OPER-SNS EXERCISE SUPPLIES</v>
          </cell>
          <cell r="B123" t="str">
            <v>30 -  MAINTENANCE &amp; OPERATIONS</v>
          </cell>
        </row>
        <row r="124">
          <cell r="A124" t="str">
            <v>626128 - OPER-TACTICAL SUPPLIES</v>
          </cell>
          <cell r="B124" t="str">
            <v>30 -  MAINTENANCE &amp; OPERATIONS</v>
          </cell>
        </row>
        <row r="125">
          <cell r="A125" t="str">
            <v>626129 - OPER-TOXICOLOGY SUPPLIES</v>
          </cell>
          <cell r="B125" t="str">
            <v>30 -  MAINTENANCE &amp; OPERATIONS</v>
          </cell>
        </row>
        <row r="126">
          <cell r="A126" t="str">
            <v>626130 - OPER-VIDEO SUPPLIES</v>
          </cell>
          <cell r="B126" t="str">
            <v>30 -  MAINTENANCE &amp; OPERATIONS</v>
          </cell>
        </row>
        <row r="127">
          <cell r="A127" t="str">
            <v>626131 - OPER-GRANT PROGRAM SUPPLIES</v>
          </cell>
          <cell r="B127" t="str">
            <v>30 -  MAINTENANCE &amp; OPERATIONS</v>
          </cell>
        </row>
        <row r="128">
          <cell r="A128" t="str">
            <v>626132 - OPER-HISTOLOGY SUPPLIES</v>
          </cell>
          <cell r="B128" t="str">
            <v>30 -  MAINTENANCE &amp; OPERATIONS</v>
          </cell>
        </row>
        <row r="129">
          <cell r="A129" t="str">
            <v>626133 - OPER-CHILDCARE SUPPLIES</v>
          </cell>
          <cell r="B129" t="str">
            <v>30 -  MAINTENANCE &amp; OPERATIONS</v>
          </cell>
        </row>
        <row r="130">
          <cell r="A130" t="str">
            <v>626134 - OPER-DIVE TEAM SUPPLIES</v>
          </cell>
          <cell r="B130" t="str">
            <v>30 -  MAINTENANCE &amp; OPERATIONS</v>
          </cell>
        </row>
        <row r="131">
          <cell r="A131" t="str">
            <v>626167 - OPER-SMALLPOX SUPPLIES</v>
          </cell>
          <cell r="B131" t="str">
            <v>30 -  MAINTENANCE &amp; OPERATIONS</v>
          </cell>
        </row>
        <row r="132">
          <cell r="A132" t="str">
            <v>626168 - OPER-TRASH CLEAN-UP/REMOVAL</v>
          </cell>
          <cell r="B132" t="str">
            <v>30 -  MAINTENANCE &amp; OPERATIONS</v>
          </cell>
        </row>
        <row r="133">
          <cell r="A133" t="str">
            <v>626203 - OPER-EXTRAORD CRIM PREV SUPPLY</v>
          </cell>
          <cell r="B133" t="str">
            <v>30 -  MAINTENANCE &amp; OPERATIONS</v>
          </cell>
          <cell r="C133" t="str">
            <v>xzero</v>
          </cell>
        </row>
        <row r="134">
          <cell r="A134" t="str">
            <v>626204 - OPER-EXTRAORD DETENTION SUPPL</v>
          </cell>
          <cell r="B134" t="str">
            <v>30 -  MAINTENANCE &amp; OPERATIONS</v>
          </cell>
          <cell r="C134" t="str">
            <v>xzero</v>
          </cell>
        </row>
        <row r="135">
          <cell r="A135" t="str">
            <v>626205 - OPER-EXTRAORD PHONE SUPPLIES</v>
          </cell>
          <cell r="B135" t="str">
            <v>30 -  MAINTENANCE &amp; OPERATIONS</v>
          </cell>
          <cell r="C135" t="str">
            <v>xzero</v>
          </cell>
        </row>
        <row r="136">
          <cell r="A136" t="str">
            <v>626206 - OPER-EXTRAORD SMALL TOOLS</v>
          </cell>
          <cell r="B136" t="str">
            <v>30 -  MAINTENANCE &amp; OPERATIONS</v>
          </cell>
          <cell r="C136" t="str">
            <v>xzero</v>
          </cell>
        </row>
        <row r="137">
          <cell r="A137" t="str">
            <v>626208 - OPER-EXTRAORD ANIMAL EQUIPMENT</v>
          </cell>
          <cell r="B137" t="str">
            <v>30 -  MAINTENANCE &amp; OPERATIONS</v>
          </cell>
          <cell r="C137" t="str">
            <v>xzero</v>
          </cell>
        </row>
        <row r="138">
          <cell r="A138" t="str">
            <v>626209 - OPER-EXTRAORD FARM SUPPLIES</v>
          </cell>
          <cell r="B138" t="str">
            <v>30 -  MAINTENANCE &amp; OPERATIONS</v>
          </cell>
          <cell r="C138" t="str">
            <v>xzero</v>
          </cell>
        </row>
        <row r="139">
          <cell r="A139" t="str">
            <v>626210 - OPER-EXTRAORD GROUNDS EQUIPMNT</v>
          </cell>
          <cell r="B139" t="str">
            <v>30 -  MAINTENANCE &amp; OPERATIONS</v>
          </cell>
          <cell r="C139" t="str">
            <v>xzero</v>
          </cell>
        </row>
        <row r="140">
          <cell r="A140" t="str">
            <v>626214 - OPER-EXTRAORD INVESTIGAT SUPPL</v>
          </cell>
          <cell r="B140" t="str">
            <v>30 -  MAINTENANCE &amp; OPERATIONS</v>
          </cell>
          <cell r="C140" t="str">
            <v>xzero</v>
          </cell>
        </row>
        <row r="141">
          <cell r="A141" t="str">
            <v>626217 - OPER-EXTRAORD MEDICAL SUPPLIES</v>
          </cell>
          <cell r="B141" t="str">
            <v>30 -  MAINTENANCE &amp; OPERATIONS</v>
          </cell>
          <cell r="C141" t="str">
            <v>xzero</v>
          </cell>
        </row>
        <row r="142">
          <cell r="A142" t="str">
            <v>626219 - OPER-EXTRAORD PATROL SUPPLIES</v>
          </cell>
          <cell r="B142" t="str">
            <v>30 -  MAINTENANCE &amp; OPERATIONS</v>
          </cell>
          <cell r="C142" t="str">
            <v>xzero</v>
          </cell>
        </row>
        <row r="143">
          <cell r="A143" t="str">
            <v>626221 - OPER-EXTRAORD RADIO SUPPLIES</v>
          </cell>
          <cell r="B143" t="str">
            <v>30 -  MAINTENANCE &amp; OPERATIONS</v>
          </cell>
          <cell r="C143" t="str">
            <v>xzero</v>
          </cell>
        </row>
        <row r="144">
          <cell r="A144" t="str">
            <v>626223 - OPER-EXTRAORDINARY SAFETY SUPP</v>
          </cell>
          <cell r="B144" t="str">
            <v>30 -  MAINTENANCE &amp; OPERATIONS</v>
          </cell>
          <cell r="C144" t="str">
            <v>xzero</v>
          </cell>
        </row>
        <row r="145">
          <cell r="A145" t="str">
            <v>626228 - OPER-EXTRAORD TACTICAL SUPPLY</v>
          </cell>
          <cell r="B145" t="str">
            <v>30 -  MAINTENANCE &amp; OPERATIONS</v>
          </cell>
          <cell r="C145" t="str">
            <v>xzero</v>
          </cell>
        </row>
        <row r="146">
          <cell r="A146" t="str">
            <v>626229 - OPER-EXTRAORD KITCHEN SUPPLIES</v>
          </cell>
          <cell r="B146" t="str">
            <v>30 -  MAINTENANCE &amp; OPERATIONS</v>
          </cell>
          <cell r="C146" t="str">
            <v>xzero</v>
          </cell>
        </row>
        <row r="147">
          <cell r="A147" t="str">
            <v>626301 - OPER-PROJECT MANAGER</v>
          </cell>
          <cell r="B147" t="str">
            <v>30 -  MAINTENANCE &amp; OPERATIONS</v>
          </cell>
        </row>
        <row r="148">
          <cell r="A148" t="str">
            <v>626303 - OPER-MANAGEMENT CONTRACT</v>
          </cell>
          <cell r="B148" t="str">
            <v>30 -  MAINTENANCE &amp; OPERATIONS</v>
          </cell>
        </row>
        <row r="149">
          <cell r="A149" t="str">
            <v>626304 - OPER-JURY QUESTIONNAIRE CONTRC</v>
          </cell>
          <cell r="B149" t="str">
            <v>30 -  MAINTENANCE &amp; OPERATIONS</v>
          </cell>
        </row>
        <row r="150">
          <cell r="A150" t="str">
            <v>626305 - OPER-LOW INCOME EMISSN REPAIRS</v>
          </cell>
          <cell r="B150" t="str">
            <v>30 -  MAINTENANCE &amp; OPERATIONS</v>
          </cell>
        </row>
        <row r="151">
          <cell r="A151" t="str">
            <v>626306 - OPER-CONTRACTED AGENCY PMTS</v>
          </cell>
          <cell r="B151" t="str">
            <v>30 -  MAINTENANCE &amp; OPERATIONS</v>
          </cell>
        </row>
        <row r="152">
          <cell r="A152" t="str">
            <v>626307 - OPER-REG SMOKING VEHICLE PROG</v>
          </cell>
          <cell r="B152" t="str">
            <v>30 -  MAINTENANCE &amp; OPERATIONS</v>
          </cell>
        </row>
        <row r="153">
          <cell r="A153" t="str">
            <v>626308 - OPER-PROJECT ACCESS</v>
          </cell>
          <cell r="B153" t="str">
            <v>30 -  MAINTENANCE &amp; OPERATIONS</v>
          </cell>
        </row>
        <row r="154">
          <cell r="A154" t="str">
            <v>626312 - OPER-SCORE PROGRAM PAYMENT</v>
          </cell>
          <cell r="B154" t="str">
            <v>30 -  MAINTENANCE &amp; OPERATIONS</v>
          </cell>
        </row>
        <row r="155">
          <cell r="A155" t="str">
            <v>626401 - OPER-CONSULTANTS</v>
          </cell>
          <cell r="B155" t="str">
            <v>30 -  MAINTENANCE &amp; OPERATIONS</v>
          </cell>
        </row>
        <row r="156">
          <cell r="A156" t="str">
            <v>626402 - OPER-PRE-EMPLOYMENT EXAM</v>
          </cell>
          <cell r="B156" t="str">
            <v>30 -  MAINTENANCE &amp; OPERATIONS</v>
          </cell>
        </row>
        <row r="157">
          <cell r="A157" t="str">
            <v>626403 - OPER-PSYCHOLOGICAL EVALUATIONS</v>
          </cell>
          <cell r="B157" t="str">
            <v>30 -  MAINTENANCE &amp; OPERATIONS</v>
          </cell>
        </row>
        <row r="158">
          <cell r="A158" t="str">
            <v>626404 - OPER-RANDOM DRUG TESTING</v>
          </cell>
          <cell r="B158" t="str">
            <v>30 -  MAINTENANCE &amp; OPERATIONS</v>
          </cell>
        </row>
        <row r="159">
          <cell r="A159" t="str">
            <v>626405 - OPER-SHREDDING SERVICE</v>
          </cell>
          <cell r="B159" t="str">
            <v>30 -  MAINTENANCE &amp; OPERATIONS</v>
          </cell>
        </row>
        <row r="160">
          <cell r="A160" t="str">
            <v>626406 - OPER-PRESERVATION OF RECORDS</v>
          </cell>
          <cell r="B160" t="str">
            <v>30 -  MAINTENANCE &amp; OPERATIONS</v>
          </cell>
        </row>
        <row r="161">
          <cell r="A161" t="str">
            <v>626407 - OPER-TAX ROLL PREPARATION</v>
          </cell>
          <cell r="B161" t="str">
            <v>30 -  MAINTENANCE &amp; OPERATIONS</v>
          </cell>
        </row>
        <row r="162">
          <cell r="A162" t="str">
            <v>626408 - OPER-SECURITY SERVICE</v>
          </cell>
          <cell r="B162" t="str">
            <v>30 -  MAINTENANCE &amp; OPERATIONS</v>
          </cell>
        </row>
        <row r="163">
          <cell r="A163" t="str">
            <v>626409 - OPER-AUDIT SERVICES</v>
          </cell>
          <cell r="B163" t="str">
            <v>30 -  MAINTENANCE &amp; OPERATIONS</v>
          </cell>
        </row>
        <row r="164">
          <cell r="A164" t="str">
            <v>626410 - OPER-LEGISLATIVE SERVICES</v>
          </cell>
          <cell r="B164" t="str">
            <v>30 -  MAINTENANCE &amp; OPERATIONS</v>
          </cell>
        </row>
        <row r="165">
          <cell r="A165" t="str">
            <v>626411 - OPER-ARMORED CAR SERVICES</v>
          </cell>
          <cell r="B165" t="str">
            <v>30 -  MAINTENANCE &amp; OPERATIONS</v>
          </cell>
        </row>
        <row r="166">
          <cell r="A166" t="str">
            <v>626412 - OPER-INTERPRETER</v>
          </cell>
          <cell r="B166" t="str">
            <v>30 -  MAINTENANCE &amp; OPERATIONS</v>
          </cell>
        </row>
        <row r="167">
          <cell r="A167" t="str">
            <v>626413 - OPER-MEDIATOR COSTS</v>
          </cell>
          <cell r="B167" t="str">
            <v>30 -  MAINTENANCE &amp; OPERATIONS</v>
          </cell>
        </row>
        <row r="168">
          <cell r="A168" t="str">
            <v>626414 - OPER-HEARING MASTERS</v>
          </cell>
          <cell r="B168" t="str">
            <v>30 -  MAINTENANCE &amp; OPERATIONS</v>
          </cell>
        </row>
        <row r="169">
          <cell r="A169" t="str">
            <v>626415 - OPER-SUBSTITUTE COURT REPORTER</v>
          </cell>
          <cell r="B169" t="str">
            <v>30 -  MAINTENANCE &amp; OPERATIONS</v>
          </cell>
        </row>
        <row r="170">
          <cell r="A170" t="str">
            <v>626416 - OPER-VISITING JUDGES</v>
          </cell>
          <cell r="B170" t="str">
            <v>30 -  MAINTENANCE &amp; OPERATIONS</v>
          </cell>
        </row>
        <row r="171">
          <cell r="A171" t="str">
            <v>626417 - OPER-BOOK BINDING</v>
          </cell>
          <cell r="B171" t="str">
            <v>30 -  MAINTENANCE &amp; OPERATIONS</v>
          </cell>
        </row>
        <row r="172">
          <cell r="A172" t="str">
            <v>626418 - OPER-PHYSICIAN SERVICES</v>
          </cell>
          <cell r="B172" t="str">
            <v>30 -  MAINTENANCE &amp; OPERATIONS</v>
          </cell>
        </row>
        <row r="173">
          <cell r="A173" t="str">
            <v>626419 - OPER-OUT-OF-COUNTY COMMITMENT</v>
          </cell>
          <cell r="B173" t="str">
            <v>30 -  MAINTENANCE &amp; OPERATIONS</v>
          </cell>
        </row>
        <row r="174">
          <cell r="A174" t="str">
            <v>626420 - OPER-COURT APPOINTED ATTORNEY</v>
          </cell>
          <cell r="B174" t="str">
            <v>30 -  MAINTENANCE &amp; OPERATIONS</v>
          </cell>
        </row>
        <row r="175">
          <cell r="A175" t="str">
            <v>626421 - OPER-VINE NOTIFICATION SERVICE</v>
          </cell>
          <cell r="B175" t="str">
            <v>30 -  MAINTENANCE &amp; OPERATIONS</v>
          </cell>
        </row>
        <row r="176">
          <cell r="A176" t="str">
            <v>626422 - OPER-SKIP TRACING SERVICES</v>
          </cell>
          <cell r="B176" t="str">
            <v>30 -  MAINTENANCE &amp; OPERATIONS</v>
          </cell>
        </row>
        <row r="177">
          <cell r="A177" t="str">
            <v>626423 - OPER-LAB SERVICES</v>
          </cell>
          <cell r="B177" t="str">
            <v>30 -  MAINTENANCE &amp; OPERATIONS</v>
          </cell>
        </row>
        <row r="178">
          <cell r="A178" t="str">
            <v>626424 - OPER-AUTOPSY SERVICES</v>
          </cell>
          <cell r="B178" t="str">
            <v>30 -  MAINTENANCE &amp; OPERATIONS</v>
          </cell>
        </row>
        <row r="179">
          <cell r="A179" t="str">
            <v>626425 - OPER-INTOXILIZER TECHNICIAN</v>
          </cell>
          <cell r="B179" t="str">
            <v>30 -  MAINTENANCE &amp; OPERATIONS</v>
          </cell>
        </row>
        <row r="180">
          <cell r="A180" t="str">
            <v>626426 - OPER-INPATIENT HOSPITAL CARE</v>
          </cell>
          <cell r="B180" t="str">
            <v>30 -  MAINTENANCE &amp; OPERATIONS</v>
          </cell>
        </row>
        <row r="181">
          <cell r="A181" t="str">
            <v>626427 - OPER-OUTPATIENT HEALTHCARE</v>
          </cell>
          <cell r="B181" t="str">
            <v>30 -  MAINTENANCE &amp; OPERATIONS</v>
          </cell>
        </row>
        <row r="182">
          <cell r="A182" t="str">
            <v>626428 - OPER-EMERGENCY CARE</v>
          </cell>
          <cell r="B182" t="str">
            <v>30 -  MAINTENANCE &amp; OPERATIONS</v>
          </cell>
        </row>
        <row r="183">
          <cell r="A183" t="str">
            <v>626429 - OPER-HOME HEALTH CARE</v>
          </cell>
          <cell r="B183" t="str">
            <v>30 -  MAINTENANCE &amp; OPERATIONS</v>
          </cell>
        </row>
        <row r="184">
          <cell r="A184" t="str">
            <v>626430 - OPER-INFIRMARY SERVICES</v>
          </cell>
          <cell r="B184" t="str">
            <v>30 -  MAINTENANCE &amp; OPERATIONS</v>
          </cell>
        </row>
        <row r="185">
          <cell r="A185" t="str">
            <v>626431 - OPER-MHMR PAYMENTS</v>
          </cell>
          <cell r="B185" t="str">
            <v>30 -  MAINTENANCE &amp; OPERATIONS</v>
          </cell>
        </row>
        <row r="186">
          <cell r="A186" t="str">
            <v>626432 - OPER-HALFWAY HOUSING</v>
          </cell>
          <cell r="B186" t="str">
            <v>30 -  MAINTENANCE &amp; OPERATIONS</v>
          </cell>
        </row>
        <row r="187">
          <cell r="A187" t="str">
            <v>626433 - OPER-COUNSELING SERVICES</v>
          </cell>
          <cell r="B187" t="str">
            <v>30 -  MAINTENANCE &amp; OPERATIONS</v>
          </cell>
        </row>
        <row r="188">
          <cell r="A188" t="str">
            <v>626434 - OPER-PHARMACEUTICAL SERVICES</v>
          </cell>
          <cell r="B188" t="str">
            <v>30 -  MAINTENANCE &amp; OPERATIONS</v>
          </cell>
        </row>
        <row r="189">
          <cell r="A189" t="str">
            <v>626435 - OPER-NURSING SERVICES</v>
          </cell>
          <cell r="B189" t="str">
            <v>30 -  MAINTENANCE &amp; OPERATIONS</v>
          </cell>
        </row>
        <row r="190">
          <cell r="A190" t="str">
            <v>626436 - OPER-IMMUNIZATION SERVICES</v>
          </cell>
          <cell r="B190" t="str">
            <v>30 -  MAINTENANCE &amp; OPERATIONS</v>
          </cell>
        </row>
        <row r="191">
          <cell r="A191" t="str">
            <v>626437 - OPER-PRIMARY CARE SERVICE</v>
          </cell>
          <cell r="B191" t="str">
            <v>30 -  MAINTENANCE &amp; OPERATIONS</v>
          </cell>
        </row>
        <row r="192">
          <cell r="A192" t="str">
            <v>626438 - OPER-SUBST. ABUSE EVALUATIONS</v>
          </cell>
          <cell r="B192" t="str">
            <v>30 -  MAINTENANCE &amp; OPERATIONS</v>
          </cell>
        </row>
        <row r="193">
          <cell r="A193" t="str">
            <v>626439 - OPER-OUTPATIENT/MAMMOGRAM</v>
          </cell>
          <cell r="B193" t="str">
            <v>30 -  MAINTENANCE &amp; OPERATIONS</v>
          </cell>
        </row>
        <row r="194">
          <cell r="A194" t="str">
            <v>626440 - OPER-MONITORING SERVICES</v>
          </cell>
          <cell r="B194" t="str">
            <v>30 -  MAINTENANCE &amp; OPERATIONS</v>
          </cell>
        </row>
        <row r="195">
          <cell r="A195" t="str">
            <v>626441 - OPER-ABSCONDERS SEARCH FEE</v>
          </cell>
          <cell r="B195" t="str">
            <v>30 -  MAINTENANCE &amp; OPERATIONS</v>
          </cell>
        </row>
        <row r="196">
          <cell r="A196" t="str">
            <v>626442 - OPER-PAYMENT SERVICE FEES</v>
          </cell>
          <cell r="B196" t="str">
            <v>30 -  MAINTENANCE &amp; OPERATIONS</v>
          </cell>
        </row>
        <row r="197">
          <cell r="A197" t="str">
            <v>626443 - OPER-BANK ANALYSIS CHARGES</v>
          </cell>
          <cell r="B197" t="str">
            <v>30 -  MAINTENANCE &amp; OPERATIONS</v>
          </cell>
        </row>
        <row r="198">
          <cell r="A198" t="str">
            <v>626444 - OPER-COURT APPOINTED PROSECUTR</v>
          </cell>
          <cell r="B198" t="str">
            <v>30 -  MAINTENANCE &amp; OPERATIONS</v>
          </cell>
        </row>
        <row r="199">
          <cell r="A199" t="str">
            <v>626445 - OPER-INMATE HOUSING</v>
          </cell>
          <cell r="B199" t="str">
            <v>30 -  MAINTENANCE &amp; OPERATIONS</v>
          </cell>
        </row>
        <row r="200">
          <cell r="A200" t="str">
            <v>626446 - OPER-DAY CARE</v>
          </cell>
          <cell r="B200" t="str">
            <v>30 -  MAINTENANCE &amp; OPERATIONS</v>
          </cell>
        </row>
        <row r="201">
          <cell r="A201" t="str">
            <v>626447 - OPER-SANE NURSE TRAINING</v>
          </cell>
          <cell r="B201" t="str">
            <v>30 -  MAINTENANCE &amp; OPERATIONS</v>
          </cell>
        </row>
        <row r="202">
          <cell r="A202" t="str">
            <v>626448 - OPER-VISITING PROBATE JUDGE</v>
          </cell>
          <cell r="B202" t="str">
            <v>30 -  MAINTENANCE &amp; OPERATIONS</v>
          </cell>
        </row>
        <row r="203">
          <cell r="A203" t="str">
            <v>626449 - OPER-COMPUTER SERVICES</v>
          </cell>
          <cell r="B203" t="str">
            <v>30 -  MAINTENANCE &amp; OPERATIONS</v>
          </cell>
        </row>
        <row r="204">
          <cell r="A204" t="str">
            <v>626450 - OPER-PRESIDING PROBATE JUDGE</v>
          </cell>
          <cell r="B204" t="str">
            <v>30 -  MAINTENANCE &amp; OPERATIONS</v>
          </cell>
        </row>
        <row r="205">
          <cell r="A205" t="str">
            <v>626451 - OPER-WORKPLACE SAFETY TESTING</v>
          </cell>
          <cell r="B205" t="str">
            <v>30 -  MAINTENANCE &amp; OPERATIONS</v>
          </cell>
        </row>
        <row r="206">
          <cell r="A206" t="str">
            <v>626452 - OPER-RECOVERY SUPPORT</v>
          </cell>
          <cell r="B206" t="str">
            <v>30 -  MAINTENANCE &amp; OPERATIONS</v>
          </cell>
        </row>
        <row r="207">
          <cell r="A207" t="str">
            <v>626478 - OPER-RESIDENTIAL SERVICES</v>
          </cell>
          <cell r="B207" t="str">
            <v>30 -  MAINTENANCE &amp; OPERATIONS</v>
          </cell>
        </row>
        <row r="208">
          <cell r="A208" t="str">
            <v>626479 - OPER-NON-RESIDENTIAL SERVICES</v>
          </cell>
          <cell r="B208" t="str">
            <v>30 -  MAINTENANCE &amp; OPERATIONS</v>
          </cell>
        </row>
        <row r="209">
          <cell r="A209" t="str">
            <v>626501 - OPER-PUBLIC NOTIFICATIONS</v>
          </cell>
          <cell r="B209" t="str">
            <v>30 -  MAINTENANCE &amp; OPERATIONS</v>
          </cell>
        </row>
        <row r="210">
          <cell r="A210" t="str">
            <v>626502 - OPER-REPORTERS RECORDS</v>
          </cell>
          <cell r="B210" t="str">
            <v>30 -  MAINTENANCE &amp; OPERATIONS</v>
          </cell>
        </row>
        <row r="211">
          <cell r="A211" t="str">
            <v>626503 - OPER-UNIFORMS</v>
          </cell>
          <cell r="B211" t="str">
            <v>30 -  MAINTENANCE &amp; OPERATIONS</v>
          </cell>
        </row>
        <row r="212">
          <cell r="A212" t="str">
            <v>626504 - OPER-OPINION SURVEYS</v>
          </cell>
          <cell r="B212" t="str">
            <v>30 -  MAINTENANCE &amp; OPERATIONS</v>
          </cell>
        </row>
        <row r="213">
          <cell r="A213" t="str">
            <v>626506 - OPER-DRIVER'S LICENSE CHECKS</v>
          </cell>
          <cell r="B213" t="str">
            <v>30 -  MAINTENANCE &amp; OPERATIONS</v>
          </cell>
        </row>
        <row r="214">
          <cell r="A214" t="str">
            <v>626507 - OPER-PAMPHLETS</v>
          </cell>
          <cell r="B214" t="str">
            <v>30 -  MAINTENANCE &amp; OPERATIONS</v>
          </cell>
        </row>
        <row r="215">
          <cell r="A215" t="str">
            <v>626508 - OPER-PRE-EMPLY CREDIT CHECK</v>
          </cell>
          <cell r="B215" t="str">
            <v>30 -  MAINTENANCE &amp; OPERATIONS</v>
          </cell>
        </row>
        <row r="216">
          <cell r="A216" t="str">
            <v>626510 - OPER-EQUIPMENT RENTAL</v>
          </cell>
          <cell r="B216" t="str">
            <v>30 -  MAINTENANCE &amp; OPERATIONS</v>
          </cell>
        </row>
        <row r="217">
          <cell r="A217" t="str">
            <v>626511 - OPER-GEOGRAPHICAL DATA</v>
          </cell>
          <cell r="B217" t="str">
            <v>30 -  MAINTENANCE &amp; OPERATIONS</v>
          </cell>
        </row>
        <row r="218">
          <cell r="A218" t="str">
            <v>626512 - OPER-ELECTIONS JUDGES/CLERKS</v>
          </cell>
          <cell r="B218" t="str">
            <v>30 -  MAINTENANCE &amp; OPERATIONS</v>
          </cell>
        </row>
        <row r="219">
          <cell r="A219" t="str">
            <v>626514 - OPER-DRUG TESTING</v>
          </cell>
          <cell r="B219" t="str">
            <v>30 -  MAINTENANCE &amp; OPERATIONS</v>
          </cell>
        </row>
        <row r="220">
          <cell r="A220" t="str">
            <v>626516 - OPER-RABIES CONTROL</v>
          </cell>
          <cell r="B220" t="str">
            <v>30 -  MAINTENANCE &amp; OPERATIONS</v>
          </cell>
        </row>
        <row r="221">
          <cell r="A221" t="str">
            <v>626517 - OPER-ANIMAL CRUELTY</v>
          </cell>
          <cell r="B221" t="str">
            <v>30 -  MAINTENANCE &amp; OPERATIONS</v>
          </cell>
        </row>
        <row r="222">
          <cell r="A222" t="str">
            <v>626518 - OPER-NOTARY BONDS</v>
          </cell>
          <cell r="B222" t="str">
            <v>30 -  MAINTENANCE &amp; OPERATIONS</v>
          </cell>
        </row>
        <row r="223">
          <cell r="A223" t="str">
            <v>626519 - OPER-RECORDING FEE</v>
          </cell>
          <cell r="B223" t="str">
            <v>30 -  MAINTENANCE &amp; OPERATIONS</v>
          </cell>
        </row>
        <row r="224">
          <cell r="A224" t="str">
            <v>626520 - OPER-OUTSIDE AGENCY PAYMENTS</v>
          </cell>
          <cell r="B224" t="str">
            <v>30 -  MAINTENANCE &amp; OPERATIONS</v>
          </cell>
        </row>
        <row r="225">
          <cell r="A225" t="str">
            <v>626521 - OPER-PLANNING BOARD EXPENSES</v>
          </cell>
          <cell r="B225" t="str">
            <v>30 -  MAINTENANCE &amp; OPERATIONS</v>
          </cell>
        </row>
        <row r="226">
          <cell r="A226" t="str">
            <v>626523 - OPER-ARCHIVE &amp; RESTORATION</v>
          </cell>
          <cell r="B226" t="str">
            <v>30 -  MAINTENANCE &amp; OPERATIONS</v>
          </cell>
        </row>
        <row r="227">
          <cell r="A227" t="str">
            <v>626527 - OPER-TRIAL COSTS</v>
          </cell>
          <cell r="B227" t="str">
            <v>30 -  MAINTENANCE &amp; OPERATIONS</v>
          </cell>
        </row>
        <row r="228">
          <cell r="A228" t="str">
            <v>626528 - OPER-AMBULANCE SERVICE</v>
          </cell>
          <cell r="B228" t="str">
            <v>30 -  MAINTENANCE &amp; OPERATIONS</v>
          </cell>
        </row>
        <row r="229">
          <cell r="A229" t="str">
            <v>626529 - OPER-ROOM &amp; BOARD</v>
          </cell>
          <cell r="B229" t="str">
            <v>30 -  MAINTENANCE &amp; OPERATIONS</v>
          </cell>
        </row>
        <row r="230">
          <cell r="A230" t="str">
            <v>626530 - OPER-INMATE TRANSPORT</v>
          </cell>
          <cell r="B230" t="str">
            <v>30 -  MAINTENANCE &amp; OPERATIONS</v>
          </cell>
        </row>
        <row r="231">
          <cell r="A231" t="str">
            <v>626531 - OPER-WITNESS COSTS</v>
          </cell>
          <cell r="B231" t="str">
            <v>30 -  MAINTENANCE &amp; OPERATIONS</v>
          </cell>
        </row>
        <row r="232">
          <cell r="A232" t="str">
            <v>626532 - OPER-INVESTIGATION EXPENSE</v>
          </cell>
          <cell r="B232" t="str">
            <v>30 -  MAINTENANCE &amp; OPERATIONS</v>
          </cell>
        </row>
        <row r="233">
          <cell r="A233" t="str">
            <v>626533 - OPER-JURY EXPENSE</v>
          </cell>
          <cell r="B233" t="str">
            <v>30 -  MAINTENANCE &amp; OPERATIONS</v>
          </cell>
        </row>
        <row r="234">
          <cell r="A234" t="str">
            <v>626535 - OPER-PRINT/SCHEMATIC REPRODUCT</v>
          </cell>
          <cell r="B234" t="str">
            <v>30 -  MAINTENANCE &amp; OPERATIONS</v>
          </cell>
        </row>
        <row r="235">
          <cell r="A235" t="str">
            <v>626536 - OPER-MEDICAL COSTS</v>
          </cell>
          <cell r="B235" t="str">
            <v>30 -  MAINTENANCE &amp; OPERATIONS</v>
          </cell>
        </row>
        <row r="236">
          <cell r="A236" t="str">
            <v>626537 - OPER-ENVIRONMENTAL CLEAN-UP</v>
          </cell>
          <cell r="B236" t="str">
            <v>30 -  MAINTENANCE &amp; OPERATIONS</v>
          </cell>
        </row>
        <row r="237">
          <cell r="A237" t="str">
            <v>626538 - OPER-LEASE VEHICLES</v>
          </cell>
          <cell r="B237" t="str">
            <v>30 -  MAINTENANCE &amp; OPERATIONS</v>
          </cell>
        </row>
        <row r="238">
          <cell r="A238" t="str">
            <v>626540 - OPER-EMPLOYEE MEDICAL</v>
          </cell>
          <cell r="B238" t="str">
            <v>30 -  MAINTENANCE &amp; OPERATIONS</v>
          </cell>
        </row>
        <row r="239">
          <cell r="A239" t="str">
            <v>626541 - OPER-SIGNS</v>
          </cell>
          <cell r="B239" t="str">
            <v>30 -  MAINTENANCE &amp; OPERATIONS</v>
          </cell>
        </row>
        <row r="240">
          <cell r="A240" t="str">
            <v>626542 - OPER-NUISANCE ABATEMENT</v>
          </cell>
          <cell r="B240" t="str">
            <v>30 -  MAINTENANCE &amp; OPERATIONS</v>
          </cell>
        </row>
        <row r="241">
          <cell r="A241" t="str">
            <v>626543 - OPER-OPEB FUNDING</v>
          </cell>
          <cell r="B241" t="str">
            <v>30 -  MAINTENANCE &amp; OPERATIONS</v>
          </cell>
        </row>
        <row r="242">
          <cell r="A242" t="str">
            <v>626544 - OPER-MEDICAL RETAINER</v>
          </cell>
          <cell r="B242" t="str">
            <v>30 -  MAINTENANCE &amp; OPERATIONS</v>
          </cell>
        </row>
        <row r="243">
          <cell r="A243" t="str">
            <v>626545 - OPER-SCHOLARSHIP</v>
          </cell>
          <cell r="B243" t="str">
            <v>30 -  MAINTENANCE &amp; OPERATIONS</v>
          </cell>
        </row>
        <row r="244">
          <cell r="A244" t="str">
            <v>626546 - OPER-MENTORING PROGRAM</v>
          </cell>
          <cell r="B244" t="str">
            <v>30 -  MAINTENANCE &amp; OPERATIONS</v>
          </cell>
        </row>
        <row r="245">
          <cell r="A245" t="str">
            <v>626547 - OPER-GED TESTING</v>
          </cell>
          <cell r="B245" t="str">
            <v>30 -  MAINTENANCE &amp; OPERATIONS</v>
          </cell>
        </row>
        <row r="246">
          <cell r="A246" t="str">
            <v>626548 - OPER-SPECIAL EVENTS</v>
          </cell>
          <cell r="B246" t="str">
            <v>30 -  MAINTENANCE &amp; OPERATIONS</v>
          </cell>
        </row>
        <row r="247">
          <cell r="A247" t="str">
            <v>626549 - OPER-GRAND JURY EXPENSE</v>
          </cell>
          <cell r="B247" t="str">
            <v>30 -  MAINTENANCE &amp; OPERATIONS</v>
          </cell>
        </row>
        <row r="248">
          <cell r="A248" t="str">
            <v>626550 - OPER-GRANT AWARDS</v>
          </cell>
          <cell r="B248" t="str">
            <v>30 -  MAINTENANCE &amp; OPERATIONS</v>
          </cell>
        </row>
        <row r="249">
          <cell r="A249" t="str">
            <v>626551 - OPER-INDIGENT AID</v>
          </cell>
          <cell r="B249" t="str">
            <v>30 -  MAINTENANCE &amp; OPERATIONS</v>
          </cell>
        </row>
        <row r="250">
          <cell r="A250" t="str">
            <v>626552 - OPER-INDIGENT BURIAL</v>
          </cell>
          <cell r="B250" t="str">
            <v>30 -  MAINTENANCE &amp; OPERATIONS</v>
          </cell>
        </row>
        <row r="251">
          <cell r="A251" t="str">
            <v>626553 - OPER-FAMILY PRESERVATION</v>
          </cell>
          <cell r="B251" t="str">
            <v>30 -  MAINTENANCE &amp; OPERATIONS</v>
          </cell>
        </row>
        <row r="252">
          <cell r="A252" t="str">
            <v>626554 - OPER-SEIZED VEHICLE LIEN</v>
          </cell>
          <cell r="B252" t="str">
            <v>30 -  MAINTENANCE &amp; OPERATIONS</v>
          </cell>
        </row>
        <row r="253">
          <cell r="A253" t="str">
            <v>626555 - OPER-PCDRI AFFORDABLE CARE FEE</v>
          </cell>
          <cell r="B253" t="str">
            <v>30 -  MAINTENANCE &amp; OPERATIONS</v>
          </cell>
        </row>
        <row r="254">
          <cell r="A254" t="str">
            <v>626556 - OPER-SCREENING SUPPLIES</v>
          </cell>
          <cell r="B254" t="str">
            <v>30 -  MAINTENANCE &amp; OPERATIONS</v>
          </cell>
        </row>
        <row r="255">
          <cell r="A255" t="str">
            <v>626557 - OPER-SAFETY AWARDS</v>
          </cell>
          <cell r="B255" t="str">
            <v>30 -  MAINTENANCE &amp; OPERATIONS</v>
          </cell>
        </row>
        <row r="256">
          <cell r="A256" t="str">
            <v>626558 - OPER-LIBRARY BOOKS</v>
          </cell>
          <cell r="B256" t="str">
            <v>30 -  MAINTENANCE &amp; OPERATIONS</v>
          </cell>
        </row>
        <row r="257">
          <cell r="A257" t="str">
            <v>626559 - OPER-LIBRARY UPDATES</v>
          </cell>
          <cell r="B257" t="str">
            <v>30 -  MAINTENANCE &amp; OPERATIONS</v>
          </cell>
        </row>
        <row r="258">
          <cell r="A258" t="str">
            <v>626560 - OPER-FORFEITED FUNDS RETURNED</v>
          </cell>
          <cell r="B258" t="str">
            <v>30 -  MAINTENANCE &amp; OPERATIONS</v>
          </cell>
        </row>
        <row r="259">
          <cell r="A259" t="str">
            <v>626561 - OPER-ADVERTISING</v>
          </cell>
          <cell r="B259" t="str">
            <v>30 -  MAINTENANCE &amp; OPERATIONS</v>
          </cell>
        </row>
        <row r="260">
          <cell r="A260" t="str">
            <v>626562 - OPER-PRINTED MATERIALS</v>
          </cell>
          <cell r="B260" t="str">
            <v>30 -  MAINTENANCE &amp; OPERATIONS</v>
          </cell>
        </row>
        <row r="261">
          <cell r="A261" t="str">
            <v>626564 - OPER-BUSINESS MEALS</v>
          </cell>
          <cell r="B261" t="str">
            <v>30 -  MAINTENANCE &amp; OPERATIONS</v>
          </cell>
        </row>
        <row r="262">
          <cell r="A262" t="str">
            <v>626565 - OPER-STATE COURT SEIZED ASSETS</v>
          </cell>
          <cell r="B262" t="str">
            <v>30 -  MAINTENANCE &amp; OPERATIONS</v>
          </cell>
        </row>
        <row r="263">
          <cell r="A263" t="str">
            <v>626566 - OPER-FEDERAL COURT SEIZED ASST</v>
          </cell>
          <cell r="B263" t="str">
            <v>30 -  MAINTENANCE &amp; OPERATIONS</v>
          </cell>
        </row>
        <row r="264">
          <cell r="A264" t="str">
            <v>626569 - OPER-S/A TREATMENT CENTER</v>
          </cell>
          <cell r="B264" t="str">
            <v>30 -  MAINTENANCE &amp; OPERATIONS</v>
          </cell>
        </row>
        <row r="265">
          <cell r="A265" t="str">
            <v>626570 - OPER-ADULT CLINIC</v>
          </cell>
          <cell r="B265" t="str">
            <v>30 -  MAINTENANCE &amp; OPERATIONS</v>
          </cell>
        </row>
        <row r="266">
          <cell r="A266" t="str">
            <v>626571 - OPER-FAMILY PLANNING CLINIC</v>
          </cell>
          <cell r="B266" t="str">
            <v>30 -  MAINTENANCE &amp; OPERATIONS</v>
          </cell>
        </row>
        <row r="267">
          <cell r="A267" t="str">
            <v>626572 - OPER-PRENATAL CARE</v>
          </cell>
          <cell r="B267" t="str">
            <v>30 -  MAINTENANCE &amp; OPERATIONS</v>
          </cell>
        </row>
        <row r="268">
          <cell r="A268" t="str">
            <v>626573 - OPER-IMMUNIZATION CLINIC</v>
          </cell>
          <cell r="B268" t="str">
            <v>30 -  MAINTENANCE &amp; OPERATIONS</v>
          </cell>
        </row>
        <row r="269">
          <cell r="A269" t="str">
            <v>626574 - OPER-STD CLINIC</v>
          </cell>
          <cell r="B269" t="str">
            <v>30 -  MAINTENANCE &amp; OPERATIONS</v>
          </cell>
        </row>
        <row r="270">
          <cell r="A270" t="str">
            <v>626575 - OPER-TB CLINIC</v>
          </cell>
          <cell r="B270" t="str">
            <v>30 -  MAINTENANCE &amp; OPERATIONS</v>
          </cell>
        </row>
        <row r="271">
          <cell r="A271" t="str">
            <v>626576 - OPER-CHILD HEALTH CLINIC</v>
          </cell>
          <cell r="B271" t="str">
            <v>30 -  MAINTENANCE &amp; OPERATIONS</v>
          </cell>
        </row>
        <row r="272">
          <cell r="A272" t="str">
            <v>626577 - OPER-VACCINATION CLINIC COSTS</v>
          </cell>
          <cell r="B272" t="str">
            <v>30 -  MAINTENANCE &amp; OPERATIONS</v>
          </cell>
        </row>
        <row r="273">
          <cell r="A273" t="str">
            <v>626579 - OPER-EMERGENCY SHELTER</v>
          </cell>
          <cell r="B273" t="str">
            <v>30 -  MAINTENANCE &amp; OPERATIONS</v>
          </cell>
        </row>
        <row r="274">
          <cell r="A274" t="str">
            <v>626580 - OPER-CHILDS PERSNL INCIDENTALS</v>
          </cell>
          <cell r="B274" t="str">
            <v>30 -  MAINTENANCE &amp; OPERATIONS</v>
          </cell>
        </row>
        <row r="275">
          <cell r="A275" t="str">
            <v>626581 - OPER-SPECIAL NEEDS</v>
          </cell>
          <cell r="B275" t="str">
            <v>30 -  MAINTENANCE &amp; OPERATIONS</v>
          </cell>
        </row>
        <row r="276">
          <cell r="A276" t="str">
            <v>626582 - OPER-SCHOOL SUPPLIES</v>
          </cell>
          <cell r="B276" t="str">
            <v>30 -  MAINTENANCE &amp; OPERATIONS</v>
          </cell>
        </row>
        <row r="277">
          <cell r="A277" t="str">
            <v>626583 - OPER-ANIMAL CARE</v>
          </cell>
          <cell r="B277" t="str">
            <v>30 -  MAINTENANCE &amp; OPERATIONS</v>
          </cell>
        </row>
        <row r="278">
          <cell r="A278" t="str">
            <v>626584 - OPER-CHILD'S ALLOWANCE</v>
          </cell>
          <cell r="B278" t="str">
            <v>30 -  MAINTENANCE &amp; OPERATIONS</v>
          </cell>
        </row>
        <row r="279">
          <cell r="A279" t="str">
            <v>626585 - OPER-SPAY/NEUTER CLINIC CHARGE</v>
          </cell>
          <cell r="B279" t="str">
            <v>30 -  MAINTENANCE &amp; OPERATIONS</v>
          </cell>
        </row>
        <row r="280">
          <cell r="A280" t="str">
            <v>626586 - OPER-CLOTHING</v>
          </cell>
          <cell r="B280" t="str">
            <v>30 -  MAINTENANCE &amp; OPERATIONS</v>
          </cell>
        </row>
        <row r="281">
          <cell r="A281" t="str">
            <v>626587 - OPER-PROBATIONER INCIDENTALS</v>
          </cell>
          <cell r="B281" t="str">
            <v>30 -  MAINTENANCE &amp; OPERATIONS</v>
          </cell>
        </row>
        <row r="282">
          <cell r="A282" t="str">
            <v>626590 - OPER-CHILD DEVELOPMENT</v>
          </cell>
          <cell r="B282" t="str">
            <v>30 -  MAINTENANCE &amp; OPERATIONS</v>
          </cell>
        </row>
        <row r="283">
          <cell r="A283" t="str">
            <v>626591 - OPER-FOREIGN TRAVEL IMMUNIZATN</v>
          </cell>
          <cell r="B283" t="str">
            <v>30 -  MAINTENANCE &amp; OPERATIONS</v>
          </cell>
        </row>
        <row r="284">
          <cell r="A284" t="str">
            <v>626592 - OPER-DENTAL PROGRAM</v>
          </cell>
          <cell r="B284" t="str">
            <v>30 -  MAINTENANCE &amp; OPERATIONS</v>
          </cell>
        </row>
        <row r="285">
          <cell r="A285" t="str">
            <v>626593 - OPER-SMART START PROGRAM</v>
          </cell>
          <cell r="B285" t="str">
            <v>30 -  MAINTENANCE &amp; OPERATIONS</v>
          </cell>
        </row>
        <row r="286">
          <cell r="A286" t="str">
            <v>626594 - OPER-LEASE COMMISSION</v>
          </cell>
          <cell r="B286" t="str">
            <v>30 -  MAINTENANCE &amp; OPERATIONS</v>
          </cell>
        </row>
        <row r="287">
          <cell r="A287" t="str">
            <v>626596 - OPER-REAL ESTATE TAXES</v>
          </cell>
          <cell r="B287" t="str">
            <v>30 -  MAINTENANCE &amp; OPERATIONS</v>
          </cell>
        </row>
        <row r="288">
          <cell r="A288" t="str">
            <v>626597 - OPER-ALCOHOL/DRUG MONITORING</v>
          </cell>
          <cell r="B288" t="str">
            <v>30 -  MAINTENANCE &amp; OPERATIONS</v>
          </cell>
        </row>
        <row r="289">
          <cell r="A289" t="str">
            <v>626599 - OPER-OVER/UNDER</v>
          </cell>
          <cell r="B289" t="str">
            <v>30 -  MAINTENANCE &amp; OPERATIONS</v>
          </cell>
          <cell r="C289" t="str">
            <v>xzero</v>
          </cell>
        </row>
        <row r="290">
          <cell r="A290" t="str">
            <v>628210 - OPER-BUSINESS MEAL NON/TRVL</v>
          </cell>
          <cell r="B290" t="str">
            <v>30 -  MAINTENANCE &amp; OPERATIONS</v>
          </cell>
        </row>
        <row r="291">
          <cell r="A291" t="str">
            <v>637101 - MAINT-AUTO SUPPLIES</v>
          </cell>
          <cell r="B291" t="str">
            <v>30 -  MAINTENANCE &amp; OPERATIONS</v>
          </cell>
        </row>
        <row r="292">
          <cell r="A292" t="str">
            <v>637102 - MAINT-BUILDING SUPPLIES</v>
          </cell>
          <cell r="B292" t="str">
            <v>30 -  MAINTENANCE &amp; OPERATIONS</v>
          </cell>
        </row>
        <row r="293">
          <cell r="A293" t="str">
            <v>637103 - MAINT-HVAC SUPPLIES</v>
          </cell>
          <cell r="B293" t="str">
            <v>30 -  MAINTENANCE &amp; OPERATIONS</v>
          </cell>
        </row>
        <row r="294">
          <cell r="A294" t="str">
            <v>637106 - MAINT-SMALL TOOLS</v>
          </cell>
          <cell r="B294" t="str">
            <v>30 -  MAINTENANCE &amp; OPERATIONS</v>
          </cell>
        </row>
        <row r="295">
          <cell r="A295" t="str">
            <v>637107 - MAINT-ROAD SUPPLIES</v>
          </cell>
          <cell r="B295" t="str">
            <v>30 -  MAINTENANCE &amp; OPERATIONS</v>
          </cell>
        </row>
        <row r="296">
          <cell r="A296" t="str">
            <v>637108 - MAINT-WELDING SUPPLIES</v>
          </cell>
          <cell r="B296" t="str">
            <v>30 -  MAINTENANCE &amp; OPERATIONS</v>
          </cell>
        </row>
        <row r="297">
          <cell r="A297" t="str">
            <v>637109 - MAINT-GROUNDS MAINT SUPPLIES</v>
          </cell>
          <cell r="B297" t="str">
            <v>30 -  MAINTENANCE &amp; OPERATIONS</v>
          </cell>
        </row>
        <row r="298">
          <cell r="A298" t="str">
            <v>637110 - MAINT-EQUIPMENT MAINT SUPPLIES</v>
          </cell>
          <cell r="B298" t="str">
            <v>30 -  MAINTENANCE &amp; OPERATIONS</v>
          </cell>
        </row>
        <row r="299">
          <cell r="A299" t="str">
            <v>637121 - MAINT-JANITORIAL SUPPLIES</v>
          </cell>
          <cell r="B299" t="str">
            <v>30 -  MAINTENANCE &amp; OPERATIONS</v>
          </cell>
        </row>
        <row r="300">
          <cell r="A300" t="str">
            <v>637150 - MAINT-EXTRAORD ROAD SUPPLIES</v>
          </cell>
          <cell r="B300" t="str">
            <v>30 -  MAINTENANCE &amp; OPERATIONS</v>
          </cell>
        </row>
        <row r="301">
          <cell r="A301" t="str">
            <v>637199 - MAINT-OVER / UNDER</v>
          </cell>
          <cell r="B301" t="str">
            <v>30 -  MAINTENANCE &amp; OPERATIONS</v>
          </cell>
          <cell r="C301" t="str">
            <v>xzero</v>
          </cell>
        </row>
        <row r="302">
          <cell r="A302" t="str">
            <v>637204 - MAINT-EXTRAORD JANITORIAL SUPL</v>
          </cell>
          <cell r="B302" t="str">
            <v>30 -  MAINTENANCE &amp; OPERATIONS</v>
          </cell>
        </row>
        <row r="303">
          <cell r="A303" t="str">
            <v>637207 - MAINT-EXTRAORD ROAD EQUIPMENT</v>
          </cell>
          <cell r="B303" t="str">
            <v>30 -  MAINTENANCE &amp; OPERATIONS</v>
          </cell>
        </row>
        <row r="304">
          <cell r="A304" t="str">
            <v>637301 - MAINT-HVAC MAINT CONTRACT</v>
          </cell>
          <cell r="B304" t="str">
            <v>30 -  MAINTENANCE &amp; OPERATIONS</v>
          </cell>
        </row>
        <row r="305">
          <cell r="A305" t="str">
            <v>637302 - MAINT-COMPUTER MAINT CONTRACT</v>
          </cell>
          <cell r="B305" t="str">
            <v>30 -  MAINTENANCE &amp; OPERATIONS</v>
          </cell>
        </row>
        <row r="306">
          <cell r="A306" t="str">
            <v>637303 - MAINT-COPIER MAINT CONTRACT</v>
          </cell>
          <cell r="B306" t="str">
            <v>30 -  MAINTENANCE &amp; OPERATIONS</v>
          </cell>
        </row>
        <row r="307">
          <cell r="A307" t="str">
            <v>637304 - MAINT-MICROFILM EQUIP CNT</v>
          </cell>
          <cell r="B307" t="str">
            <v>30 -  MAINTENANCE &amp; OPERATIONS</v>
          </cell>
        </row>
        <row r="308">
          <cell r="A308" t="str">
            <v>637305 - MAINT-IMAGING MAINT CONTRACT</v>
          </cell>
          <cell r="B308" t="str">
            <v>30 -  MAINTENANCE &amp; OPERATIONS</v>
          </cell>
        </row>
        <row r="309">
          <cell r="A309" t="str">
            <v>637306 - MAINT-AFIS SYS MAINT CONTRACT</v>
          </cell>
          <cell r="B309" t="str">
            <v>30 -  MAINTENANCE &amp; OPERATIONS</v>
          </cell>
        </row>
        <row r="310">
          <cell r="A310" t="str">
            <v>637307 - MAINT-DICTATING EQUIP CONTRACT</v>
          </cell>
          <cell r="B310" t="str">
            <v>30 -  MAINTENANCE &amp; OPERATIONS</v>
          </cell>
        </row>
        <row r="311">
          <cell r="A311" t="str">
            <v>637308 - MAINT-ELEVATOR MAINT CONTRACT</v>
          </cell>
          <cell r="B311" t="str">
            <v>30 -  MAINTENANCE &amp; OPERATIONS</v>
          </cell>
        </row>
        <row r="312">
          <cell r="A312" t="str">
            <v>637309 - MAINT-SECURITY SYS CONTRACT</v>
          </cell>
          <cell r="B312" t="str">
            <v>30 -  MAINTENANCE &amp; OPERATIONS</v>
          </cell>
        </row>
        <row r="313">
          <cell r="A313" t="str">
            <v>637311 - MAINT-TYPEWRITER CONTRACT</v>
          </cell>
          <cell r="B313" t="str">
            <v>30 -  MAINTENANCE &amp; OPERATIONS</v>
          </cell>
        </row>
        <row r="314">
          <cell r="A314" t="str">
            <v>637401 - MAINT-WINDOW CLEANING</v>
          </cell>
          <cell r="B314" t="str">
            <v>30 -  MAINTENANCE &amp; OPERATIONS</v>
          </cell>
        </row>
        <row r="315">
          <cell r="A315" t="str">
            <v>637402 - MAINT-CLEANING SERVICE</v>
          </cell>
          <cell r="B315" t="str">
            <v>30 -  MAINTENANCE &amp; OPERATIONS</v>
          </cell>
        </row>
        <row r="316">
          <cell r="A316" t="str">
            <v>637403 - MAINT-EXTERMINATION SERVICES</v>
          </cell>
          <cell r="B316" t="str">
            <v>30 -  MAINTENANCE &amp; OPERATIONS</v>
          </cell>
        </row>
        <row r="317">
          <cell r="A317" t="str">
            <v>637404 - MAINT-ROOF INSPECT CONSULTANT</v>
          </cell>
          <cell r="B317" t="str">
            <v>30 -  MAINTENANCE &amp; OPERATIONS</v>
          </cell>
        </row>
        <row r="318">
          <cell r="A318" t="str">
            <v>637405 - MAINT-ENVIRONMENTAL CONSULTANT</v>
          </cell>
          <cell r="B318" t="str">
            <v>30 -  MAINTENANCE &amp; OPERATIONS</v>
          </cell>
        </row>
        <row r="319">
          <cell r="A319" t="str">
            <v>637440 - MAINT-EQUIPMENT INSPECTION</v>
          </cell>
          <cell r="B319" t="str">
            <v>30 -  MAINTENANCE &amp; OPERATIONS</v>
          </cell>
        </row>
        <row r="320">
          <cell r="A320" t="str">
            <v>637444 - MAINT-ELEVATOR ST INSPECTION</v>
          </cell>
          <cell r="B320" t="str">
            <v>30 -  MAINTENANCE &amp; OPERATIONS</v>
          </cell>
        </row>
        <row r="321">
          <cell r="A321" t="str">
            <v>637446 - MAINT-FIRE SYS CERTIFICATION</v>
          </cell>
          <cell r="B321" t="str">
            <v>30 -  MAINTENANCE &amp; OPERATIONS</v>
          </cell>
        </row>
        <row r="322">
          <cell r="A322" t="str">
            <v>637456 - MAINT-VENTAHOOD CERTIFICATION</v>
          </cell>
          <cell r="B322" t="str">
            <v>30 -  MAINTENANCE &amp; OPERATIONS</v>
          </cell>
        </row>
        <row r="323">
          <cell r="A323" t="str">
            <v>637457 - MAINT-FURNACE INSPECTION</v>
          </cell>
          <cell r="B323" t="str">
            <v>30 -  MAINTENANCE &amp; OPERATIONS</v>
          </cell>
        </row>
        <row r="324">
          <cell r="A324" t="str">
            <v>637458 - MAINT-CRANE INSPECTION</v>
          </cell>
          <cell r="B324" t="str">
            <v>30 -  MAINTENANCE &amp; OPERATIONS</v>
          </cell>
        </row>
        <row r="325">
          <cell r="A325" t="str">
            <v>637501 - MAINT-EQUIPMENT MAINTENANCE</v>
          </cell>
          <cell r="B325" t="str">
            <v>30 -  MAINTENANCE &amp; OPERATIONS</v>
          </cell>
        </row>
        <row r="326">
          <cell r="A326" t="str">
            <v>637502 - MAINT-COMPUTER MAINTENANCE</v>
          </cell>
          <cell r="B326" t="str">
            <v>30 -  MAINTENANCE &amp; OPERATIONS</v>
          </cell>
        </row>
        <row r="327">
          <cell r="A327" t="str">
            <v>637503 - MAINT-SOFTWARE MAINTENANCE</v>
          </cell>
          <cell r="B327" t="str">
            <v>30 -  MAINTENANCE &amp; OPERATIONS</v>
          </cell>
        </row>
        <row r="328">
          <cell r="A328" t="str">
            <v>637504 - MAINT-PHONE SYSTEM MAINTENANCE</v>
          </cell>
          <cell r="B328" t="str">
            <v>30 -  MAINTENANCE &amp; OPERATIONS</v>
          </cell>
        </row>
        <row r="329">
          <cell r="A329" t="str">
            <v>637506 - MAINT-PHONE MAINTENANCE</v>
          </cell>
          <cell r="B329" t="str">
            <v>30 -  MAINTENANCE &amp; OPERATIONS</v>
          </cell>
        </row>
        <row r="330">
          <cell r="A330" t="str">
            <v>637507 - MAINT-FURNITURE MAINTENANCE</v>
          </cell>
          <cell r="B330" t="str">
            <v>30 -  MAINTENANCE &amp; OPERATIONS</v>
          </cell>
        </row>
        <row r="331">
          <cell r="A331" t="str">
            <v>637508 - MAINT-PARKING LOT MAINTENANCE</v>
          </cell>
          <cell r="B331" t="str">
            <v>30 -  MAINTENANCE &amp; OPERATIONS</v>
          </cell>
        </row>
        <row r="332">
          <cell r="A332" t="str">
            <v>637509 - MAINT-COPIER MAINTENANCE</v>
          </cell>
          <cell r="B332" t="str">
            <v>30 -  MAINTENANCE &amp; OPERATIONS</v>
          </cell>
        </row>
        <row r="333">
          <cell r="A333" t="str">
            <v>637510 - MAINT-RADIO TOWER MAINTENANCE</v>
          </cell>
          <cell r="B333" t="str">
            <v>30 -  MAINTENANCE &amp; OPERATIONS</v>
          </cell>
        </row>
        <row r="334">
          <cell r="A334" t="str">
            <v>637511 - MAINT-ENVIRONMENTAL CONSTRUCT</v>
          </cell>
          <cell r="B334" t="str">
            <v>30 -  MAINTENANCE &amp; OPERATIONS</v>
          </cell>
        </row>
        <row r="335">
          <cell r="A335" t="str">
            <v>637512 - MAINT-GROUNDS EQUIPMENT MAINT</v>
          </cell>
          <cell r="B335" t="str">
            <v>30 -  MAINTENANCE &amp; OPERATIONS</v>
          </cell>
        </row>
        <row r="336">
          <cell r="A336" t="str">
            <v>637513 - MAINT-HEAVY EQUIPMENT REPAIR</v>
          </cell>
          <cell r="B336" t="str">
            <v>30 -  MAINTENANCE &amp; OPERATIONS</v>
          </cell>
        </row>
        <row r="337">
          <cell r="A337" t="str">
            <v>637514 - MAINT-RECONDITIONED VEHICLES</v>
          </cell>
          <cell r="B337" t="str">
            <v>30 -  MAINTENANCE &amp; OPERATIONS</v>
          </cell>
        </row>
        <row r="338">
          <cell r="A338" t="str">
            <v>637515 - MAINT-AUTO/EQUIP GLASS REPAIR</v>
          </cell>
          <cell r="B338" t="str">
            <v>30 -  MAINTENANCE &amp; OPERATIONS</v>
          </cell>
        </row>
        <row r="339">
          <cell r="A339" t="str">
            <v>637516 - MAINT-PROJECT ADMIN FEES</v>
          </cell>
          <cell r="B339" t="str">
            <v>30 -  MAINTENANCE &amp; OPERATIONS</v>
          </cell>
        </row>
        <row r="340">
          <cell r="A340" t="str">
            <v>637517 - MAINT-FLEET CHARGES</v>
          </cell>
          <cell r="B340" t="str">
            <v>30 -  MAINTENANCE &amp; OPERATIONS</v>
          </cell>
        </row>
        <row r="341">
          <cell r="A341" t="str">
            <v>637518 - MAINT-RESTORATION</v>
          </cell>
          <cell r="B341" t="str">
            <v>30 -  MAINTENANCE &amp; OPERATIONS</v>
          </cell>
        </row>
        <row r="342">
          <cell r="A342" t="str">
            <v>637525 - MAINT-ROAD CONSTRUCTION</v>
          </cell>
          <cell r="B342" t="str">
            <v>30 -  MAINTENANCE &amp; OPERATIONS</v>
          </cell>
        </row>
        <row r="343">
          <cell r="A343" t="str">
            <v>637529 - MAINT-MAJOR ROAD CONSTRUCTION</v>
          </cell>
          <cell r="B343" t="str">
            <v>30 -  MAINTENANCE &amp; OPERATIONS</v>
          </cell>
        </row>
        <row r="344">
          <cell r="A344" t="str">
            <v>637530 - MAINT-RADIO MAINTENANCE</v>
          </cell>
          <cell r="B344" t="str">
            <v>30 -  MAINTENANCE &amp; OPERATIONS</v>
          </cell>
        </row>
        <row r="345">
          <cell r="A345" t="str">
            <v>637531 - MAINT-DAM MAINTENANCE</v>
          </cell>
          <cell r="B345" t="str">
            <v>30 -  MAINTENANCE &amp; OPERATIONS</v>
          </cell>
        </row>
        <row r="346">
          <cell r="A346" t="str">
            <v>637532 - MAINT-ROAD MAINTENANCE</v>
          </cell>
          <cell r="B346" t="str">
            <v>30 -  MAINTENANCE &amp; OPERATIONS</v>
          </cell>
        </row>
        <row r="347">
          <cell r="A347" t="str">
            <v>637533 - MAINT-BRIDGE MAINTENANCE</v>
          </cell>
          <cell r="B347" t="str">
            <v>30 -  MAINTENANCE &amp; OPERATIONS</v>
          </cell>
        </row>
        <row r="348">
          <cell r="A348" t="str">
            <v>637534 - MAINT-STORM DAMAGE</v>
          </cell>
          <cell r="B348" t="str">
            <v>30 -  MAINTENANCE &amp; OPERATIONS</v>
          </cell>
        </row>
        <row r="349">
          <cell r="A349" t="str">
            <v>637535 - MAINT-UTILITY CONSTRUCTION</v>
          </cell>
          <cell r="B349" t="str">
            <v>30 -  MAINTENANCE &amp; OPERATIONS</v>
          </cell>
        </row>
        <row r="350">
          <cell r="A350" t="str">
            <v>637536 - MAINT-ROAD RECONSTRUCTION</v>
          </cell>
          <cell r="B350" t="str">
            <v>30 -  MAINTENANCE &amp; OPERATIONS</v>
          </cell>
        </row>
        <row r="351">
          <cell r="A351" t="str">
            <v>637537 - MAINT-ROAD CAMP COSTS</v>
          </cell>
          <cell r="B351" t="str">
            <v>30 -  MAINTENANCE &amp; OPERATIONS</v>
          </cell>
        </row>
        <row r="352">
          <cell r="A352" t="str">
            <v>637538 - MAINT-ROAD MARKINGS</v>
          </cell>
          <cell r="B352" t="str">
            <v>30 -  MAINTENANCE &amp; OPERATIONS</v>
          </cell>
        </row>
        <row r="353">
          <cell r="A353" t="str">
            <v>637539 - MAINT-ROW WEED CONTROL</v>
          </cell>
          <cell r="B353" t="str">
            <v>30 -  MAINTENANCE &amp; OPERATIONS</v>
          </cell>
        </row>
        <row r="354">
          <cell r="A354" t="str">
            <v>637540 - MAINT-BUILDING MAINTENANCE</v>
          </cell>
          <cell r="B354" t="str">
            <v>30 -  MAINTENANCE &amp; OPERATIONS</v>
          </cell>
        </row>
        <row r="355">
          <cell r="A355" t="str">
            <v>637541 - MAINT-HVAC MAINTENANCE</v>
          </cell>
          <cell r="B355" t="str">
            <v>30 -  MAINTENANCE &amp; OPERATIONS</v>
          </cell>
        </row>
        <row r="356">
          <cell r="A356" t="str">
            <v>637542 - MAINT-GROUNDS MAINTENANCE</v>
          </cell>
          <cell r="B356" t="str">
            <v>30 -  MAINTENANCE &amp; OPERATIONS</v>
          </cell>
        </row>
        <row r="357">
          <cell r="A357" t="str">
            <v>637543 - MAINT-LAWN CHEMICAL CONTRACT</v>
          </cell>
          <cell r="B357" t="str">
            <v>30 -  MAINTENANCE &amp; OPERATIONS</v>
          </cell>
        </row>
        <row r="358">
          <cell r="A358" t="str">
            <v>637545 - MAINT-MOVING EXPENSE</v>
          </cell>
          <cell r="B358" t="str">
            <v>30 -  MAINTENANCE &amp; OPERATIONS</v>
          </cell>
        </row>
        <row r="359">
          <cell r="A359" t="str">
            <v>637547 - MAINT-SITE IMPROVEMENT</v>
          </cell>
          <cell r="B359" t="str">
            <v>30 -  MAINTENANCE &amp; OPERATIONS</v>
          </cell>
        </row>
        <row r="360">
          <cell r="A360" t="str">
            <v>637548 - MAINT-ELEVATOR MAINTENANCE</v>
          </cell>
          <cell r="B360" t="str">
            <v>30 -  MAINTENANCE &amp; OPERATIONS</v>
          </cell>
        </row>
        <row r="361">
          <cell r="A361" t="str">
            <v>637549 - MAINT-ENERGY MANAGEMENT MAINT</v>
          </cell>
          <cell r="B361" t="str">
            <v>30 -  MAINTENANCE &amp; OPERATIONS</v>
          </cell>
        </row>
        <row r="362">
          <cell r="A362" t="str">
            <v>637551 - MAINT-WASTE TRAP MAINTENANCE</v>
          </cell>
          <cell r="B362" t="str">
            <v>30 -  MAINTENANCE &amp; OPERATIONS</v>
          </cell>
        </row>
        <row r="363">
          <cell r="A363" t="str">
            <v>637552 - MAINT-FIRE EXTINGUISHER MAINT</v>
          </cell>
          <cell r="B363" t="str">
            <v>30 -  MAINTENANCE &amp; OPERATIONS</v>
          </cell>
        </row>
        <row r="364">
          <cell r="A364" t="str">
            <v>637554 - MAINT-UNDERGROUND TANK MAINT</v>
          </cell>
          <cell r="B364" t="str">
            <v>30 -  MAINTENANCE &amp; OPERATIONS</v>
          </cell>
        </row>
        <row r="365">
          <cell r="A365" t="str">
            <v>637555 - MAINT-BOILER MAINTENANCE</v>
          </cell>
          <cell r="B365" t="str">
            <v>30 -  MAINTENANCE &amp; OPERATIONS</v>
          </cell>
        </row>
        <row r="366">
          <cell r="A366" t="str">
            <v>637560 - MAINT-PERMITS</v>
          </cell>
          <cell r="B366" t="str">
            <v>30 -  MAINTENANCE &amp; OPERATIONS</v>
          </cell>
        </row>
        <row r="367">
          <cell r="A367" t="str">
            <v>637561 - MAINT-TRACTOR MOWING</v>
          </cell>
          <cell r="B367" t="str">
            <v>30 -  MAINTENANCE &amp; OPERATIONS</v>
          </cell>
        </row>
        <row r="368">
          <cell r="A368" t="str">
            <v>637562 - MAINT-AUTO</v>
          </cell>
          <cell r="B368" t="str">
            <v>30 -  MAINTENANCE &amp; OPERATIONS</v>
          </cell>
        </row>
        <row r="369">
          <cell r="A369" t="str">
            <v>637598 - MAINT-OVER / UNDER</v>
          </cell>
          <cell r="B369" t="str">
            <v>30 -  MAINTENANCE &amp; OPERATIONS</v>
          </cell>
          <cell r="C369" t="str">
            <v>xzero</v>
          </cell>
        </row>
        <row r="370">
          <cell r="A370" t="str">
            <v>637599 - MAINT-DISASTER RECOVERY</v>
          </cell>
          <cell r="B370" t="str">
            <v>30 -  MAINTENANCE &amp; OPERATIONS</v>
          </cell>
        </row>
        <row r="371">
          <cell r="A371" t="str">
            <v>648001 - UTILITY-WATER/TRASH SERVICE</v>
          </cell>
          <cell r="B371" t="str">
            <v>30 -  MAINTENANCE &amp; OPERATIONS</v>
          </cell>
        </row>
        <row r="372">
          <cell r="A372" t="str">
            <v>648002 - UTILITY-ELECTRIC SERVICE</v>
          </cell>
          <cell r="B372" t="str">
            <v>30 -  MAINTENANCE &amp; OPERATIONS</v>
          </cell>
        </row>
        <row r="373">
          <cell r="A373" t="str">
            <v>648003 - UTILITY-NATURAL GAS</v>
          </cell>
          <cell r="B373" t="str">
            <v>30 -  MAINTENANCE &amp; OPERATIONS</v>
          </cell>
        </row>
        <row r="374">
          <cell r="A374" t="str">
            <v>648004 - UTILITY-TRASH DISPOSAL</v>
          </cell>
          <cell r="B374" t="str">
            <v>30 -  MAINTENANCE &amp; OPERATIONS</v>
          </cell>
        </row>
        <row r="375">
          <cell r="A375" t="str">
            <v>648005 - UTILITY-SPACE RENT</v>
          </cell>
          <cell r="B375" t="str">
            <v>30 -  MAINTENANCE &amp; OPERATIONS</v>
          </cell>
        </row>
        <row r="376">
          <cell r="A376" t="str">
            <v>648006 - UTILITY-MOBILE DATA COMP SVS</v>
          </cell>
          <cell r="B376" t="str">
            <v>30 -  MAINTENANCE &amp; OPERATIONS</v>
          </cell>
        </row>
        <row r="377">
          <cell r="A377" t="str">
            <v>648007 - UTILITY-WASTE SERVICES</v>
          </cell>
          <cell r="B377" t="str">
            <v>30 -  MAINTENANCE &amp; OPERATIONS</v>
          </cell>
        </row>
        <row r="378">
          <cell r="A378" t="str">
            <v>648008 - UTILITY-WATER TREATMENT</v>
          </cell>
          <cell r="B378" t="str">
            <v>30 -  MAINTENANCE &amp; OPERATIONS</v>
          </cell>
        </row>
        <row r="379">
          <cell r="A379" t="str">
            <v>648010 - UTILITY-PAGER LEASE</v>
          </cell>
          <cell r="B379" t="str">
            <v>30 -  MAINTENANCE &amp; OPERATIONS</v>
          </cell>
        </row>
        <row r="380">
          <cell r="A380" t="str">
            <v>648011 - UTILITY-PHONE/MEDIA SERVICE</v>
          </cell>
          <cell r="B380" t="str">
            <v>30 -  MAINTENANCE &amp; OPERATIONS</v>
          </cell>
        </row>
        <row r="381">
          <cell r="A381" t="str">
            <v>648012 - UTILITY-COMMUNICATION LINE LSE</v>
          </cell>
          <cell r="B381" t="str">
            <v>30 -  MAINTENANCE &amp; OPERATIONS</v>
          </cell>
        </row>
        <row r="382">
          <cell r="A382" t="str">
            <v>648013 - UTILITY-SATELLITE SERVICE</v>
          </cell>
          <cell r="B382" t="str">
            <v>30 -  MAINTENANCE &amp; OPERATIONS</v>
          </cell>
        </row>
        <row r="383">
          <cell r="A383" t="str">
            <v>648015 - UTILITY-CELLULAR TELEPHONE</v>
          </cell>
          <cell r="B383" t="str">
            <v>30 -  MAINTENANCE &amp; OPERATIONS</v>
          </cell>
        </row>
        <row r="384">
          <cell r="A384" t="str">
            <v>648089 - UTILITY-FREEDOM PHONE SERVICE</v>
          </cell>
          <cell r="B384" t="str">
            <v>30 -  MAINTENANCE &amp; OPERATIONS</v>
          </cell>
        </row>
        <row r="385">
          <cell r="A385" t="str">
            <v>648101 - UTILITY-WATER AUTHORITY</v>
          </cell>
          <cell r="B385" t="str">
            <v>30 -  MAINTENANCE &amp; OPERATIONS</v>
          </cell>
        </row>
        <row r="386">
          <cell r="A386" t="str">
            <v>648102 - UTILITY-DAL REG MOBILITY COAL</v>
          </cell>
          <cell r="B386" t="str">
            <v>30 -  MAINTENANCE &amp; OPERATIONS</v>
          </cell>
        </row>
        <row r="387">
          <cell r="A387" t="str">
            <v>648103 - UTILITY-TIF ZONE PARTICIPATION</v>
          </cell>
          <cell r="B387" t="str">
            <v>30 -  MAINTENANCE &amp; OPERATIONS</v>
          </cell>
        </row>
        <row r="388">
          <cell r="A388" t="str">
            <v>648104 - UTILITY-ADMIN DIST PRO RATA</v>
          </cell>
          <cell r="B388" t="str">
            <v>30 -  MAINTENANCE &amp; OPERATIONS</v>
          </cell>
        </row>
        <row r="389">
          <cell r="A389" t="str">
            <v>648105 - UTILITY-CIVL APPEALS CRT SPMNT</v>
          </cell>
          <cell r="B389" t="str">
            <v>30 -  MAINTENANCE &amp; OPERATIONS</v>
          </cell>
        </row>
        <row r="390">
          <cell r="A390" t="str">
            <v>648106 - UTILITY-CENTRL APPRSL DIST PMT</v>
          </cell>
          <cell r="B390" t="str">
            <v>30 -  MAINTENANCE &amp; OPERATIONS</v>
          </cell>
        </row>
        <row r="391">
          <cell r="A391" t="str">
            <v>648107 - UTILITY-STATE PURCHASING FEE</v>
          </cell>
          <cell r="B391" t="str">
            <v>30 -  MAINTENANCE &amp; OPERATIONS</v>
          </cell>
        </row>
        <row r="392">
          <cell r="A392" t="str">
            <v>648108 - UTILITY-NARCOTICS TASK FORCE</v>
          </cell>
          <cell r="B392" t="str">
            <v>30 -  MAINTENANCE &amp; OPERATIONS</v>
          </cell>
        </row>
        <row r="393">
          <cell r="A393" t="str">
            <v>648109 - UTILITY-LIBRARY SUPPORT PYMT</v>
          </cell>
          <cell r="B393" t="str">
            <v>30 -  MAINTENANCE &amp; OPERATIONS</v>
          </cell>
        </row>
        <row r="394">
          <cell r="A394" t="str">
            <v>648110 - UTILITY-ROAD PARTICIPATION</v>
          </cell>
          <cell r="B394" t="str">
            <v>30 -  MAINTENANCE &amp; OPERATIONS</v>
          </cell>
        </row>
        <row r="395">
          <cell r="A395" t="str">
            <v>648111 - UTILITY-50/3-BUS PROP TAX RFND</v>
          </cell>
          <cell r="B395" t="str">
            <v>30 -  MAINTENANCE &amp; OPERATIONS</v>
          </cell>
        </row>
        <row r="396">
          <cell r="A396" t="str">
            <v>648201 - UTILITY-VOLUNTEER SERVICES</v>
          </cell>
          <cell r="B396" t="str">
            <v>30 -  MAINTENANCE &amp; OPERATIONS</v>
          </cell>
        </row>
        <row r="397">
          <cell r="A397" t="str">
            <v>648211 - UTILITY-INHOUSE MEETINGS/FOOD</v>
          </cell>
          <cell r="B397" t="str">
            <v>30 -  MAINTENANCE &amp; OPERATIONS</v>
          </cell>
        </row>
        <row r="398">
          <cell r="A398" t="str">
            <v>658701 - MISC-MISCELLANEOUS</v>
          </cell>
          <cell r="B398" t="str">
            <v>30 -  MAINTENANCE &amp; OPERATIONS</v>
          </cell>
          <cell r="C398" t="str">
            <v>xbase</v>
          </cell>
        </row>
        <row r="399">
          <cell r="A399" t="str">
            <v>658702 - MISC-INFORMATION EXCHANGE</v>
          </cell>
          <cell r="B399" t="str">
            <v>30 -  MAINTENANCE &amp; OPERATIONS</v>
          </cell>
        </row>
        <row r="400">
          <cell r="A400" t="str">
            <v>658703 - MISC-ONLINE BIRTH CERT OVERAGE</v>
          </cell>
          <cell r="B400" t="str">
            <v>30 -  MAINTENANCE &amp; OPERATIONS</v>
          </cell>
        </row>
        <row r="401">
          <cell r="A401" t="str">
            <v>658710 - MISC-APPEL CT JUST SAL SUPP</v>
          </cell>
          <cell r="B401" t="str">
            <v>30 -  MAINTENANCE &amp; OPERATIONS</v>
          </cell>
        </row>
        <row r="402">
          <cell r="A402" t="str">
            <v>668704 - ONE-TIME BUDGET NON-CAP</v>
          </cell>
          <cell r="B402" t="str">
            <v>30 -  MAINTENANCE &amp; OPERATIONS</v>
          </cell>
          <cell r="C402" t="str">
            <v>xzero</v>
          </cell>
        </row>
        <row r="403">
          <cell r="A403" t="str">
            <v>698801 - CON-PROGRAM CONTINGENCY</v>
          </cell>
          <cell r="B403" t="str">
            <v>30 -  MAINTENANCE &amp; OPERATIONS</v>
          </cell>
          <cell r="C403" t="str">
            <v>xzero</v>
          </cell>
        </row>
        <row r="404">
          <cell r="A404" t="str">
            <v>698802 - CON-UNBUDGETED EXPENDITURES</v>
          </cell>
          <cell r="B404" t="str">
            <v>30 -  MAINTENANCE &amp; OPERATIONS</v>
          </cell>
          <cell r="C404" t="str">
            <v>xzero</v>
          </cell>
        </row>
        <row r="405">
          <cell r="A405" t="str">
            <v>698803 - CON-TCDRS LIABILITY REDUCTION</v>
          </cell>
          <cell r="B405" t="str">
            <v>30 -  MAINTENANCE &amp; OPERATIONS</v>
          </cell>
        </row>
        <row r="406">
          <cell r="A406" t="str">
            <v>698889 - CON-UNDESIGNATED BUDGET REQST</v>
          </cell>
          <cell r="B406" t="str">
            <v>30 -  MAINTENANCE &amp; OPERATIONS</v>
          </cell>
          <cell r="C406" t="str">
            <v>xzero</v>
          </cell>
        </row>
        <row r="407">
          <cell r="A407" t="str">
            <v>698898 - CON-WO/FM REQUIRED ACCT-LABOR</v>
          </cell>
          <cell r="B407" t="str">
            <v>30 -  MAINTENANCE &amp; OPERATIONS</v>
          </cell>
        </row>
        <row r="408">
          <cell r="A408" t="str">
            <v>698899 - CON-WO/FM REQUIRED ACCT-MATRS</v>
          </cell>
          <cell r="B408" t="str">
            <v>30 -  MAINTENANCE &amp; OPERATIONS</v>
          </cell>
        </row>
        <row r="409">
          <cell r="A409" t="str">
            <v>798901 - N/CAP EQUIP-OFFICE EQUIPMENT</v>
          </cell>
          <cell r="B409" t="str">
            <v>30 -  MAINTENANCE &amp; OPERATIONS</v>
          </cell>
          <cell r="C409" t="str">
            <v>xzero</v>
          </cell>
        </row>
        <row r="410">
          <cell r="A410" t="str">
            <v>798902 - N/CAP EQUIP-COMPUTER EQUIPMENT</v>
          </cell>
          <cell r="B410" t="str">
            <v>30 -  MAINTENANCE &amp; OPERATIONS</v>
          </cell>
          <cell r="C410" t="str">
            <v>xzero</v>
          </cell>
        </row>
        <row r="411">
          <cell r="A411" t="str">
            <v>798903 - N/CAP EQUIP-SOFTWARE</v>
          </cell>
          <cell r="B411" t="str">
            <v>30 -  MAINTENANCE &amp; OPERATIONS</v>
          </cell>
          <cell r="C411" t="str">
            <v>xzero</v>
          </cell>
        </row>
        <row r="412">
          <cell r="A412" t="str">
            <v>798904 - N/CAP EQUIP-FAX EQUIPMENT</v>
          </cell>
          <cell r="B412" t="str">
            <v>30 -  MAINTENANCE &amp; OPERATIONS</v>
          </cell>
          <cell r="C412" t="str">
            <v>xzero</v>
          </cell>
        </row>
        <row r="413">
          <cell r="A413" t="str">
            <v>798905 - N/CAP EQUIP-EDUCATIONAL EQUIP</v>
          </cell>
          <cell r="B413" t="str">
            <v>30 -  MAINTENANCE &amp; OPERATIONS</v>
          </cell>
          <cell r="C413" t="str">
            <v>xzero</v>
          </cell>
        </row>
        <row r="414">
          <cell r="A414" t="str">
            <v>798907 - N/CAP EQUIP-ROAD EQUIPMENT</v>
          </cell>
          <cell r="B414" t="str">
            <v>30 -  MAINTENANCE &amp; OPERATIONS</v>
          </cell>
          <cell r="C414" t="str">
            <v>xzero</v>
          </cell>
        </row>
        <row r="415">
          <cell r="A415" t="str">
            <v>798910 - N/CAP EQUIP-GRANT MISC</v>
          </cell>
          <cell r="B415" t="str">
            <v>30 -  MAINTENANCE &amp; OPERATIONS</v>
          </cell>
          <cell r="C415" t="str">
            <v>xzero</v>
          </cell>
        </row>
        <row r="416">
          <cell r="A416" t="str">
            <v>798912 - N/CAP EQUIP-PATROL EQUIPMENT</v>
          </cell>
          <cell r="B416" t="str">
            <v>30 -  MAINTENANCE &amp; OPERATIONS</v>
          </cell>
          <cell r="C416" t="str">
            <v>xzero</v>
          </cell>
        </row>
        <row r="417">
          <cell r="A417" t="str">
            <v>798914 - N/CAP EQUIP-KITCHEN EQUIPMENT</v>
          </cell>
          <cell r="B417" t="str">
            <v>30 -  MAINTENANCE &amp; OPERATIONS</v>
          </cell>
          <cell r="C417" t="str">
            <v>xzero</v>
          </cell>
        </row>
        <row r="418">
          <cell r="A418" t="str">
            <v>798915 - N/CAP EQUIP-CAMPING EQUIPMENT</v>
          </cell>
          <cell r="B418" t="str">
            <v>30 -  MAINTENANCE &amp; OPERATIONS</v>
          </cell>
          <cell r="C418" t="str">
            <v>xzero</v>
          </cell>
        </row>
        <row r="419">
          <cell r="A419" t="str">
            <v>798916 - N/CAP EQUIP-MEDICAL EQUIPMENT</v>
          </cell>
          <cell r="B419" t="str">
            <v>30 -  MAINTENANCE &amp; OPERATIONS</v>
          </cell>
          <cell r="C419" t="str">
            <v>xzero</v>
          </cell>
        </row>
        <row r="420">
          <cell r="A420" t="str">
            <v>798919 - N/CAP EQUIP-RADIO TOWER</v>
          </cell>
          <cell r="B420" t="str">
            <v>30 -  MAINTENANCE &amp; OPERATIONS</v>
          </cell>
          <cell r="C420" t="str">
            <v>xzero</v>
          </cell>
        </row>
        <row r="421">
          <cell r="A421" t="str">
            <v>798920 - N/CAP EQUIP-RADIO EQUIPMENT</v>
          </cell>
          <cell r="B421" t="str">
            <v>30 -  MAINTENANCE &amp; OPERATIONS</v>
          </cell>
          <cell r="C421" t="str">
            <v>xzero</v>
          </cell>
        </row>
        <row r="422">
          <cell r="A422" t="str">
            <v>798921 - N/CAP EQUIP-DETENTION</v>
          </cell>
          <cell r="B422" t="str">
            <v>30 -  MAINTENANCE &amp; OPERATIONS</v>
          </cell>
          <cell r="C422" t="str">
            <v>xzero</v>
          </cell>
        </row>
        <row r="423">
          <cell r="A423" t="str">
            <v>798924 - N/CAP EQUIP-CRIME PREVENTION</v>
          </cell>
          <cell r="B423" t="str">
            <v>30 -  MAINTENANCE &amp; OPERATIONS</v>
          </cell>
          <cell r="C423" t="str">
            <v>xzero</v>
          </cell>
        </row>
        <row r="424">
          <cell r="A424" t="str">
            <v>798925 - N/CAP EQUIP-INVESTIGATIVE</v>
          </cell>
          <cell r="B424" t="str">
            <v>30 -  MAINTENANCE &amp; OPERATIONS</v>
          </cell>
          <cell r="C424" t="str">
            <v>xzero</v>
          </cell>
        </row>
        <row r="425">
          <cell r="A425" t="str">
            <v>798930 - N/CAP EQUIP-GROUNDS EQUIPMENT</v>
          </cell>
          <cell r="B425" t="str">
            <v>30 -  MAINTENANCE &amp; OPERATIONS</v>
          </cell>
          <cell r="C425" t="str">
            <v>xzero</v>
          </cell>
        </row>
        <row r="426">
          <cell r="A426" t="str">
            <v>798931 - N/CAP EQUIP-ANIMAL EQUIPMENT</v>
          </cell>
          <cell r="B426" t="str">
            <v>30 -  MAINTENANCE &amp; OPERATIONS</v>
          </cell>
          <cell r="C426" t="str">
            <v>xzero</v>
          </cell>
        </row>
        <row r="427">
          <cell r="A427" t="str">
            <v>798932 - N/CAP EQUIP-TACTICAL EQUIPMENT</v>
          </cell>
          <cell r="B427" t="str">
            <v>30 -  MAINTENANCE &amp; OPERATIONS</v>
          </cell>
          <cell r="C427" t="str">
            <v>xzero</v>
          </cell>
        </row>
        <row r="428">
          <cell r="A428" t="str">
            <v>798941 - N/CAP EQUIP-PHONE EQUIPMENT</v>
          </cell>
          <cell r="B428" t="str">
            <v>30 -  MAINTENANCE &amp; OPERATIONS</v>
          </cell>
          <cell r="C428" t="str">
            <v>xzero</v>
          </cell>
        </row>
        <row r="429">
          <cell r="A429" t="str">
            <v>798955 - N/CAP EQUIP-BUILDING IMPROV</v>
          </cell>
          <cell r="B429" t="str">
            <v>30 -  MAINTENANCE &amp; OPERATIONS</v>
          </cell>
          <cell r="C429" t="str">
            <v>xzero</v>
          </cell>
        </row>
        <row r="430">
          <cell r="A430" t="str">
            <v>798956 - N/CAP EQUIP-LEASEHOLD IMPROV</v>
          </cell>
          <cell r="B430" t="str">
            <v>30 -  MAINTENANCE &amp; OPERATIONS</v>
          </cell>
          <cell r="C430" t="str">
            <v>xzero</v>
          </cell>
        </row>
        <row r="431">
          <cell r="A431" t="str">
            <v>798960 - N/CAP EQUIP-TOOLS</v>
          </cell>
          <cell r="B431" t="str">
            <v>30 -  MAINTENANCE &amp; OPERATIONS</v>
          </cell>
          <cell r="C431" t="str">
            <v>xzero</v>
          </cell>
        </row>
        <row r="432">
          <cell r="A432" t="str">
            <v>798961 - N/CAP EQUIP-FARM EQUIPMENT</v>
          </cell>
          <cell r="B432" t="str">
            <v>30 -  MAINTENANCE &amp; OPERATIONS</v>
          </cell>
          <cell r="C432" t="str">
            <v>xzero</v>
          </cell>
        </row>
        <row r="433">
          <cell r="A433" t="str">
            <v>798962 - N/CAP EQUIP-SAFETY EQUIPMENT</v>
          </cell>
          <cell r="B433" t="str">
            <v>30 -  MAINTENANCE &amp; OPERATIONS</v>
          </cell>
          <cell r="C433" t="str">
            <v>xzero</v>
          </cell>
        </row>
        <row r="434">
          <cell r="A434" t="str">
            <v>798963 - N/CAP EQUIP-AUTO MAKE-READY</v>
          </cell>
          <cell r="B434" t="str">
            <v>30 -  MAINTENANCE &amp; OPERATIONS</v>
          </cell>
          <cell r="C434" t="str">
            <v>xzero</v>
          </cell>
        </row>
        <row r="435">
          <cell r="A435" t="str">
            <v>798964 - N/CAP EQUIP-HEAVY EQ MAKEREADY</v>
          </cell>
          <cell r="B435" t="str">
            <v>30 -  MAINTENANCE &amp; OPERATIONS</v>
          </cell>
          <cell r="C435" t="str">
            <v>xzero</v>
          </cell>
        </row>
        <row r="436">
          <cell r="A436" t="str">
            <v>798965 - N/CAP EQUIP-JANITORIAL</v>
          </cell>
          <cell r="B436" t="str">
            <v>30 -  MAINTENANCE &amp; OPERATIONS</v>
          </cell>
          <cell r="C436" t="str">
            <v>xzero</v>
          </cell>
        </row>
        <row r="437">
          <cell r="A437" t="str">
            <v>798966 - N/CAP EQUIP-HVAC EQUIPMENT</v>
          </cell>
          <cell r="B437" t="str">
            <v>30 -  MAINTENANCE &amp; OPERATIONS</v>
          </cell>
          <cell r="C437" t="str">
            <v>xzero</v>
          </cell>
        </row>
        <row r="438">
          <cell r="A438" t="str">
            <v>798999 - N/CAP EQUIP-GRANT BUD ADJUST</v>
          </cell>
          <cell r="B438" t="str">
            <v>30 -  MAINTENANCE &amp; OPERATIONS</v>
          </cell>
          <cell r="C438" t="str">
            <v>xzero</v>
          </cell>
        </row>
        <row r="439">
          <cell r="A439" t="str">
            <v>809001 - CAPITAL-OFFICE EQUIPMENT</v>
          </cell>
          <cell r="B439" t="str">
            <v>40 -  CAPITAL OUTLAY</v>
          </cell>
          <cell r="C439" t="str">
            <v>xzero</v>
          </cell>
        </row>
        <row r="440">
          <cell r="A440" t="str">
            <v>809002 - CAPITAL-COMPUTER EQUIPMENT</v>
          </cell>
          <cell r="B440" t="str">
            <v>40 -  CAPITAL OUTLAY</v>
          </cell>
          <cell r="C440" t="str">
            <v>xzero</v>
          </cell>
        </row>
        <row r="441">
          <cell r="A441" t="str">
            <v>809004 - CAPITAL-COMPUTER SOFTWARE</v>
          </cell>
          <cell r="B441" t="str">
            <v>40 -  CAPITAL OUTLAY</v>
          </cell>
          <cell r="C441" t="str">
            <v>xzero</v>
          </cell>
        </row>
        <row r="442">
          <cell r="A442" t="str">
            <v>809005 - CAPITAL-TOOLS</v>
          </cell>
          <cell r="B442" t="str">
            <v>40 -  CAPITAL OUTLAY</v>
          </cell>
          <cell r="C442" t="str">
            <v>xzero</v>
          </cell>
        </row>
        <row r="443">
          <cell r="A443" t="str">
            <v>809006 - CAPITAL-GROUNDS EQUIPMENT</v>
          </cell>
          <cell r="B443" t="str">
            <v>40 -  CAPITAL OUTLAY</v>
          </cell>
          <cell r="C443" t="str">
            <v>xzero</v>
          </cell>
        </row>
        <row r="444">
          <cell r="A444" t="str">
            <v>809007 - CAPITAL-ROAD EQUIPMENT</v>
          </cell>
          <cell r="B444" t="str">
            <v>40 -  CAPITAL OUTLAY</v>
          </cell>
          <cell r="C444" t="str">
            <v>xzero</v>
          </cell>
        </row>
        <row r="445">
          <cell r="A445" t="str">
            <v>809008 - CAPITAL-ANIMAL EQUIPMENT</v>
          </cell>
          <cell r="B445" t="str">
            <v>40 -  CAPITAL OUTLAY</v>
          </cell>
          <cell r="C445" t="str">
            <v>xzero</v>
          </cell>
        </row>
        <row r="446">
          <cell r="A446" t="str">
            <v>809009 - CAPITAL-MEDICAL EQUIPMENT</v>
          </cell>
          <cell r="B446" t="str">
            <v>40 -  CAPITAL OUTLAY</v>
          </cell>
          <cell r="C446" t="str">
            <v>xzero</v>
          </cell>
        </row>
        <row r="447">
          <cell r="A447" t="str">
            <v>809011 - CAPITAL-EDUCATION &amp; CONFERENCE</v>
          </cell>
          <cell r="B447" t="str">
            <v>40 -  CAPITAL OUTLAY</v>
          </cell>
          <cell r="C447" t="str">
            <v>xzero</v>
          </cell>
        </row>
        <row r="448">
          <cell r="A448" t="str">
            <v>809012 - CAPITAL-IN-HOUSE TRAINING</v>
          </cell>
          <cell r="B448" t="str">
            <v>40 -  CAPITAL OUTLAY</v>
          </cell>
          <cell r="C448" t="str">
            <v>xzero</v>
          </cell>
        </row>
        <row r="449">
          <cell r="A449" t="str">
            <v>809013 - CAPITAL-LAW ENFORCEMENT EQUIP</v>
          </cell>
          <cell r="B449" t="str">
            <v>40 -  CAPITAL OUTLAY</v>
          </cell>
          <cell r="C449" t="str">
            <v>xzero</v>
          </cell>
        </row>
        <row r="450">
          <cell r="A450" t="str">
            <v>809014 - CAPITAL-PATROL EQUIPMENT</v>
          </cell>
          <cell r="B450" t="str">
            <v>40 -  CAPITAL OUTLAY</v>
          </cell>
          <cell r="C450" t="str">
            <v>xzero</v>
          </cell>
        </row>
        <row r="451">
          <cell r="A451" t="str">
            <v>809015 - CAPITAL-TRAINING</v>
          </cell>
          <cell r="B451" t="str">
            <v>40 -  CAPITAL OUTLAY</v>
          </cell>
          <cell r="C451" t="str">
            <v>xzero</v>
          </cell>
        </row>
        <row r="452">
          <cell r="A452" t="str">
            <v>809016 - CAPITAL-JANITORIAL EQUIPMENT</v>
          </cell>
          <cell r="B452" t="str">
            <v>40 -  CAPITAL OUTLAY</v>
          </cell>
          <cell r="C452" t="str">
            <v>xzero</v>
          </cell>
        </row>
        <row r="453">
          <cell r="A453" t="str">
            <v>809017 - CAPITAL-INVESTIGATIVE EQUIP</v>
          </cell>
          <cell r="B453" t="str">
            <v>40 -  CAPITAL OUTLAY</v>
          </cell>
          <cell r="C453" t="str">
            <v>xzero</v>
          </cell>
        </row>
        <row r="454">
          <cell r="A454" t="str">
            <v>809019 - CAPITAL-DETENTION EQUIPMENT</v>
          </cell>
          <cell r="B454" t="str">
            <v>40 -  CAPITAL OUTLAY</v>
          </cell>
          <cell r="C454" t="str">
            <v>xzero</v>
          </cell>
        </row>
        <row r="455">
          <cell r="A455" t="str">
            <v>809020 - CAPITAL-RADIO EQUIPMENT</v>
          </cell>
          <cell r="B455" t="str">
            <v>40 -  CAPITAL OUTLAY</v>
          </cell>
          <cell r="C455" t="str">
            <v>xzero</v>
          </cell>
        </row>
        <row r="456">
          <cell r="A456" t="str">
            <v>809021 - CAPITAL-TACTICAL EQUIPMENT</v>
          </cell>
          <cell r="B456" t="str">
            <v>40 -  CAPITAL OUTLAY</v>
          </cell>
          <cell r="C456" t="str">
            <v>xzero</v>
          </cell>
        </row>
        <row r="457">
          <cell r="A457" t="str">
            <v>809022 - CAPITAL-SECURITY SYSTEM</v>
          </cell>
          <cell r="B457" t="str">
            <v>40 -  CAPITAL OUTLAY</v>
          </cell>
          <cell r="C457" t="str">
            <v>xzero</v>
          </cell>
        </row>
        <row r="458">
          <cell r="A458" t="str">
            <v>809025 - CAPITAL-COPIER EQUIPMENT</v>
          </cell>
          <cell r="B458" t="str">
            <v>40 -  CAPITAL OUTLAY</v>
          </cell>
          <cell r="C458" t="str">
            <v>xzero</v>
          </cell>
        </row>
        <row r="459">
          <cell r="A459" t="str">
            <v>809030 - CAPITAL-PHONE EQUIPMENT</v>
          </cell>
          <cell r="B459" t="str">
            <v>40 -  CAPITAL OUTLAY</v>
          </cell>
          <cell r="C459" t="str">
            <v>xzero</v>
          </cell>
        </row>
        <row r="460">
          <cell r="A460" t="str">
            <v>809031 - CAPITAL-SAFETY EQUIPMENT</v>
          </cell>
          <cell r="B460" t="str">
            <v>40 -  CAPITAL OUTLAY</v>
          </cell>
          <cell r="C460" t="str">
            <v>xzero</v>
          </cell>
        </row>
        <row r="461">
          <cell r="A461" t="str">
            <v>809033 - CAPITAL-CRIME PREVENTION EQUIP</v>
          </cell>
          <cell r="B461" t="str">
            <v>40 -  CAPITAL OUTLAY</v>
          </cell>
          <cell r="C461" t="str">
            <v>xzero</v>
          </cell>
        </row>
        <row r="462">
          <cell r="A462" t="str">
            <v>809035 - CAPITAL EQ-INSURANCE PREMIUM</v>
          </cell>
          <cell r="B462" t="str">
            <v>40 -  CAPITAL OUTLAY</v>
          </cell>
          <cell r="C462" t="str">
            <v>xzero</v>
          </cell>
        </row>
        <row r="463">
          <cell r="A463" t="str">
            <v>809045 - CAPITAL-VIDEO EQUIPMENT</v>
          </cell>
          <cell r="B463" t="str">
            <v>40 -  CAPITAL OUTLAY</v>
          </cell>
          <cell r="C463" t="str">
            <v>xzero</v>
          </cell>
        </row>
        <row r="464">
          <cell r="A464" t="str">
            <v>809050 - CAPITAL-CONSULTANTS</v>
          </cell>
          <cell r="B464" t="str">
            <v>40 -  CAPITAL OUTLAY</v>
          </cell>
          <cell r="C464" t="str">
            <v>xzero</v>
          </cell>
        </row>
        <row r="465">
          <cell r="A465" t="str">
            <v>809051 - CAPITAL-TELEPHONE SYSTEM</v>
          </cell>
          <cell r="B465" t="str">
            <v>40 -  CAPITAL OUTLAY</v>
          </cell>
          <cell r="C465" t="str">
            <v>xzero</v>
          </cell>
        </row>
        <row r="466">
          <cell r="A466" t="str">
            <v>809060 - CAPITAL-FAX EQUIPMENT</v>
          </cell>
          <cell r="B466" t="str">
            <v>40 -  CAPITAL OUTLAY</v>
          </cell>
          <cell r="C466" t="str">
            <v>xzero</v>
          </cell>
        </row>
        <row r="467">
          <cell r="A467" t="str">
            <v>809061 - CAPITAL-LEGAL EXPENSE</v>
          </cell>
          <cell r="B467" t="str">
            <v>40 -  CAPITAL OUTLAY</v>
          </cell>
          <cell r="C467" t="str">
            <v>xzero</v>
          </cell>
        </row>
        <row r="468">
          <cell r="A468" t="str">
            <v>809062 - CAPITAL-KITCHEN EQUIPMENT</v>
          </cell>
          <cell r="B468" t="str">
            <v>40 -  CAPITAL OUTLAY</v>
          </cell>
          <cell r="C468" t="str">
            <v>xzero</v>
          </cell>
        </row>
        <row r="469">
          <cell r="A469" t="str">
            <v>809070 - CAPITAL-AUTOMOTIVE EQUIPMENT</v>
          </cell>
          <cell r="B469" t="str">
            <v>40 -  CAPITAL OUTLAY</v>
          </cell>
          <cell r="C469" t="str">
            <v>xzero</v>
          </cell>
        </row>
        <row r="470">
          <cell r="A470" t="str">
            <v>809101 - CAPITAL-BUILDING IMPROVEMENTS</v>
          </cell>
          <cell r="B470" t="str">
            <v>40 -  CAPITAL OUTLAY</v>
          </cell>
          <cell r="C470" t="str">
            <v>xzero</v>
          </cell>
        </row>
        <row r="471">
          <cell r="A471" t="str">
            <v>809108 - CAPITAL-ARCHITECTURE</v>
          </cell>
          <cell r="B471" t="str">
            <v>40 -  CAPITAL OUTLAY</v>
          </cell>
          <cell r="C471" t="str">
            <v>xzero</v>
          </cell>
        </row>
        <row r="472">
          <cell r="A472" t="str">
            <v>809110 - CAPITAL-BUILDING CONSTRUCTION</v>
          </cell>
          <cell r="B472" t="str">
            <v>40 -  CAPITAL OUTLAY</v>
          </cell>
          <cell r="C472" t="str">
            <v>xzero</v>
          </cell>
        </row>
        <row r="473">
          <cell r="A473" t="str">
            <v>809111 - CAPITAL-LEASEHOLD IMPROVEMENTS</v>
          </cell>
          <cell r="B473" t="str">
            <v>40 -  CAPITAL OUTLAY</v>
          </cell>
          <cell r="C473" t="str">
            <v>xzero</v>
          </cell>
        </row>
        <row r="474">
          <cell r="A474" t="str">
            <v>809112 - CAPITAL-LIABILITY INS RESERVE</v>
          </cell>
          <cell r="B474" t="str">
            <v>40 -  CAPITAL OUTLAY</v>
          </cell>
          <cell r="C474" t="str">
            <v>xzero</v>
          </cell>
        </row>
        <row r="475">
          <cell r="A475" t="str">
            <v>809115 - CAPITAL-BUILDING ACQUISITION</v>
          </cell>
          <cell r="B475" t="str">
            <v>40 -  CAPITAL OUTLAY</v>
          </cell>
          <cell r="C475" t="str">
            <v>xzero</v>
          </cell>
        </row>
        <row r="476">
          <cell r="A476" t="str">
            <v>809118 - CAPITAL-PROJECT MANAGER</v>
          </cell>
          <cell r="B476" t="str">
            <v>40 -  CAPITAL OUTLAY</v>
          </cell>
          <cell r="C476" t="str">
            <v>xzero</v>
          </cell>
        </row>
        <row r="477">
          <cell r="A477" t="str">
            <v>809120 - CAPITAL-HV/AC EQUIP/UPGRADES</v>
          </cell>
          <cell r="B477" t="str">
            <v>40 -  CAPITAL OUTLAY</v>
          </cell>
          <cell r="C477" t="str">
            <v>xzero</v>
          </cell>
        </row>
        <row r="478">
          <cell r="A478" t="str">
            <v>809129 - CAPITAL-OTHER IMPROVEMENTS</v>
          </cell>
          <cell r="B478" t="str">
            <v>40 -  CAPITAL OUTLAY</v>
          </cell>
          <cell r="C478" t="str">
            <v>xzero</v>
          </cell>
        </row>
        <row r="479">
          <cell r="A479" t="str">
            <v>809135 - CAPITAL FAC-INSURANCE PREMIUM</v>
          </cell>
          <cell r="B479" t="str">
            <v>40 -  CAPITAL OUTLAY</v>
          </cell>
          <cell r="C479" t="str">
            <v>xzero</v>
          </cell>
        </row>
        <row r="480">
          <cell r="A480" t="str">
            <v>809150 - CAPITAL-CONSULTANTS</v>
          </cell>
          <cell r="B480" t="str">
            <v>40 -  CAPITAL OUTLAY</v>
          </cell>
          <cell r="C480" t="str">
            <v>xzero</v>
          </cell>
        </row>
        <row r="481">
          <cell r="A481" t="str">
            <v>809161 - CAPITAL-LEGAL EXPENSE</v>
          </cell>
          <cell r="B481" t="str">
            <v>40 -  CAPITAL OUTLAY</v>
          </cell>
          <cell r="C481" t="str">
            <v>xzero</v>
          </cell>
        </row>
        <row r="482">
          <cell r="A482" t="str">
            <v>809183 - CAPITAL-APPRAISALS</v>
          </cell>
          <cell r="B482" t="str">
            <v>40 -  CAPITAL OUTLAY</v>
          </cell>
          <cell r="C482" t="str">
            <v>xzero</v>
          </cell>
        </row>
        <row r="483">
          <cell r="A483" t="str">
            <v>809250 - CAPITAL-CONSULTANTS</v>
          </cell>
          <cell r="B483" t="str">
            <v>40 -  CAPITAL OUTLAY</v>
          </cell>
          <cell r="C483" t="str">
            <v>xzero</v>
          </cell>
        </row>
        <row r="484">
          <cell r="A484" t="str">
            <v>809261 - CAPITAL-LEGAL EXPENSE</v>
          </cell>
          <cell r="B484" t="str">
            <v>40 -  CAPITAL OUTLAY</v>
          </cell>
          <cell r="C484" t="str">
            <v>xzero</v>
          </cell>
        </row>
        <row r="485">
          <cell r="A485" t="str">
            <v>809280 - CAPITAL-ROAD CONSTRUCTION</v>
          </cell>
          <cell r="B485" t="str">
            <v>40 -  CAPITAL OUTLAY</v>
          </cell>
          <cell r="C485" t="str">
            <v>xzero</v>
          </cell>
        </row>
        <row r="486">
          <cell r="A486" t="str">
            <v>809281 - CAPITAL-UTILITY CONSTRUCTION</v>
          </cell>
          <cell r="B486" t="str">
            <v>40 -  CAPITAL OUTLAY</v>
          </cell>
          <cell r="C486" t="str">
            <v>xzero</v>
          </cell>
        </row>
        <row r="487">
          <cell r="A487" t="str">
            <v>809283 - CAPITAL-APPRAISALS</v>
          </cell>
          <cell r="B487" t="str">
            <v>40 -  CAPITAL OUTLAY</v>
          </cell>
          <cell r="C487" t="str">
            <v>xzero</v>
          </cell>
        </row>
        <row r="488">
          <cell r="A488" t="str">
            <v>809284 - CAPITAL-ROAD PARTICIPATION</v>
          </cell>
          <cell r="B488" t="str">
            <v>40 -  CAPITAL OUTLAY</v>
          </cell>
          <cell r="C488" t="str">
            <v>xzero</v>
          </cell>
        </row>
        <row r="489">
          <cell r="A489" t="str">
            <v>809285 - CAPITAL-BRIDGE CONSTRUCTION</v>
          </cell>
          <cell r="B489" t="str">
            <v>40 -  CAPITAL OUTLAY</v>
          </cell>
          <cell r="C489" t="str">
            <v>xzero</v>
          </cell>
        </row>
        <row r="490">
          <cell r="A490" t="str">
            <v>809301 - CAPITAL-DAM CONSTRUCTION</v>
          </cell>
          <cell r="B490" t="str">
            <v>40 -  CAPITAL OUTLAY</v>
          </cell>
          <cell r="C490" t="str">
            <v>xzero</v>
          </cell>
        </row>
        <row r="491">
          <cell r="A491" t="str">
            <v>809317 - OTHER INFRASTRUCTRE-WTR UT CON</v>
          </cell>
          <cell r="B491" t="str">
            <v>40 -  CAPITAL OUTLAY</v>
          </cell>
          <cell r="C491" t="str">
            <v>xzero</v>
          </cell>
        </row>
        <row r="492">
          <cell r="A492" t="str">
            <v>809410 - CAPITAL-PARKING LOT CONSTRUCT</v>
          </cell>
          <cell r="B492" t="str">
            <v>40 -  CAPITAL OUTLAY</v>
          </cell>
          <cell r="C492" t="str">
            <v>xzero</v>
          </cell>
        </row>
        <row r="493">
          <cell r="A493" t="str">
            <v>809417 - CAPITAL-WATER UTILITY CONSTRUC</v>
          </cell>
          <cell r="B493" t="str">
            <v>40 -  CAPITAL OUTLAY</v>
          </cell>
          <cell r="C493" t="str">
            <v>xzero</v>
          </cell>
        </row>
        <row r="494">
          <cell r="A494" t="str">
            <v>809432 - CAPITAL-LAND IMPROVEMENTS</v>
          </cell>
          <cell r="B494" t="str">
            <v>40 -  CAPITAL OUTLAY</v>
          </cell>
          <cell r="C494" t="str">
            <v>xzero</v>
          </cell>
        </row>
        <row r="495">
          <cell r="A495" t="str">
            <v>809508 - CAPITAL-ARCHITECTURE</v>
          </cell>
          <cell r="B495" t="str">
            <v>40 -  CAPITAL OUTLAY</v>
          </cell>
          <cell r="C495" t="str">
            <v>xzero</v>
          </cell>
        </row>
        <row r="496">
          <cell r="A496" t="str">
            <v>809518 - CAPITAL-PROJECT MANAGER</v>
          </cell>
          <cell r="B496" t="str">
            <v>40 -  CAPITAL OUTLAY</v>
          </cell>
          <cell r="C496" t="str">
            <v>xzero</v>
          </cell>
        </row>
        <row r="497">
          <cell r="A497" t="str">
            <v>809529 - CAPITAL-OTHER IMPROVEMENTS</v>
          </cell>
          <cell r="B497" t="str">
            <v>40 -  CAPITAL OUTLAY</v>
          </cell>
          <cell r="C497" t="str">
            <v>xzero</v>
          </cell>
        </row>
        <row r="498">
          <cell r="A498" t="str">
            <v>809532 - CAPITAL-LAND IMPROVEMENTS</v>
          </cell>
          <cell r="B498" t="str">
            <v>40 -  CAPITAL OUTLAY</v>
          </cell>
          <cell r="C498" t="str">
            <v>xzero</v>
          </cell>
        </row>
        <row r="499">
          <cell r="A499" t="str">
            <v>809535 - CAPITAL OS-INSURANCE PREMIUM</v>
          </cell>
          <cell r="B499" t="str">
            <v>40 -  CAPITAL OUTLAY</v>
          </cell>
          <cell r="C499" t="str">
            <v>xzero</v>
          </cell>
        </row>
        <row r="500">
          <cell r="A500" t="str">
            <v>809550 - CAPITAL-CONSULTANTS</v>
          </cell>
          <cell r="B500" t="str">
            <v>40 -  CAPITAL OUTLAY</v>
          </cell>
          <cell r="C500" t="str">
            <v>xzero</v>
          </cell>
        </row>
        <row r="501">
          <cell r="A501" t="str">
            <v>809561 - CAPITAL-LEGAL EXPENSE</v>
          </cell>
          <cell r="B501" t="str">
            <v>40 -  CAPITAL OUTLAY</v>
          </cell>
          <cell r="C501" t="str">
            <v>xzero</v>
          </cell>
        </row>
        <row r="502">
          <cell r="A502" t="str">
            <v>809602 - CAPITAL-LAND</v>
          </cell>
          <cell r="B502" t="str">
            <v>40 -  CAPITAL OUTLAY</v>
          </cell>
          <cell r="C502" t="str">
            <v>xzero</v>
          </cell>
        </row>
        <row r="503">
          <cell r="A503" t="str">
            <v>809682 - CAPITAL-ROW ACQUISITION</v>
          </cell>
          <cell r="B503" t="str">
            <v>40 -  CAPITAL OUTLAY</v>
          </cell>
          <cell r="C503" t="str">
            <v>xzero</v>
          </cell>
        </row>
        <row r="504">
          <cell r="A504" t="str">
            <v>809901 - CAPITAL-PROGRAM CONTINGENCY</v>
          </cell>
          <cell r="B504" t="str">
            <v>40 -  CAPITAL OUTLAY</v>
          </cell>
          <cell r="C504" t="str">
            <v>xzero</v>
          </cell>
        </row>
        <row r="505">
          <cell r="A505" t="str">
            <v>613901 - ADMIN-PRINCIPAL PAYMENTS</v>
          </cell>
          <cell r="B505" t="str">
            <v>50 -  DEBT SERVICE</v>
          </cell>
        </row>
        <row r="506">
          <cell r="A506" t="str">
            <v>613902 - ADMIN-INTEREST PAYMENTS</v>
          </cell>
          <cell r="B506" t="str">
            <v>50 -  DEBT SERVICE</v>
          </cell>
        </row>
        <row r="507">
          <cell r="A507" t="str">
            <v>613903 - ADMIN-FISCAL SERVICES</v>
          </cell>
          <cell r="B507" t="str">
            <v>50 -  DEBT SERVICE</v>
          </cell>
        </row>
        <row r="508">
          <cell r="A508" t="str">
            <v>613906 - ADMIN-ARBITRAGE</v>
          </cell>
          <cell r="B508" t="str">
            <v>50 -  DEBT SERVICE</v>
          </cell>
        </row>
        <row r="509">
          <cell r="A509" t="str">
            <v>613907 - ADMIN-CAPITAL LEASE PAYMENT</v>
          </cell>
          <cell r="B509" t="str">
            <v>50 -  DEBT SERVICE</v>
          </cell>
        </row>
        <row r="510">
          <cell r="A510" t="str">
            <v>613910 - ADMIN-DEBT ISSUANCE COSTS</v>
          </cell>
          <cell r="B510" t="str">
            <v>50 -  DEBT SERVICE</v>
          </cell>
        </row>
        <row r="511">
          <cell r="A511" t="str">
            <v>613911 - ADMIN-DEBT ISSUE DISCOUNT</v>
          </cell>
          <cell r="B511" t="str">
            <v>50 -  DEBT SERVICE</v>
          </cell>
        </row>
        <row r="512">
          <cell r="A512" t="str">
            <v>613930 - ADMIN-REFUNDING ESCROW PYMT</v>
          </cell>
          <cell r="B512" t="str">
            <v>50 -  DEBT SERVICE</v>
          </cell>
        </row>
        <row r="513">
          <cell r="A513" t="str">
            <v>613931 - ADMIN-REFUNDING PREMIUM</v>
          </cell>
          <cell r="B513" t="str">
            <v>50 -  DEBT SERVICE</v>
          </cell>
        </row>
        <row r="514">
          <cell r="A514" t="str">
            <v>613932 - ADMIN-ADVANCE REFUNDING ESCROW</v>
          </cell>
          <cell r="B514" t="str">
            <v>50 -  DEBT SERVICE</v>
          </cell>
        </row>
        <row r="515">
          <cell r="A515" t="str">
            <v>613933 - ADMIN-REFUNDING PRINCIPAL PMTS</v>
          </cell>
          <cell r="B515" t="str">
            <v>50 -  DEBT SERVICE</v>
          </cell>
        </row>
        <row r="516">
          <cell r="A516" t="str">
            <v>613934 - ADMIN-OTHER REFUNDING PAYMENTS</v>
          </cell>
          <cell r="B516" t="str">
            <v>50 -  DEBT SERVICE</v>
          </cell>
        </row>
        <row r="517">
          <cell r="A517" t="str">
            <v>613950 - ADMIN-REFUNDED BOND INTEREST</v>
          </cell>
          <cell r="B517" t="str">
            <v>50 -  DEBT SERVICE</v>
          </cell>
        </row>
        <row r="518">
          <cell r="A518" t="str">
            <v>990001 - TO-GENERAL</v>
          </cell>
          <cell r="B518" t="str">
            <v>60 -  TRANSFERS</v>
          </cell>
          <cell r="C518" t="str">
            <v>xzero</v>
          </cell>
        </row>
        <row r="519">
          <cell r="A519" t="str">
            <v>990003 - TO-RECORDS ARCHIVE</v>
          </cell>
          <cell r="B519" t="str">
            <v>60 -  TRANSFERS</v>
          </cell>
          <cell r="C519" t="str">
            <v>xzero</v>
          </cell>
        </row>
        <row r="520">
          <cell r="A520" t="str">
            <v>990018 - TO-JUVENILE PROBATION</v>
          </cell>
          <cell r="B520" t="str">
            <v>60 -  TRANSFERS</v>
          </cell>
          <cell r="C520" t="str">
            <v>xzero</v>
          </cell>
        </row>
        <row r="521">
          <cell r="A521" t="str">
            <v>990019 - TO-PRETRIAL RELEASE</v>
          </cell>
          <cell r="B521" t="str">
            <v>60 -  TRANSFERS</v>
          </cell>
          <cell r="C521" t="str">
            <v>xzero</v>
          </cell>
        </row>
        <row r="522">
          <cell r="A522" t="str">
            <v>990020 - TO-JURY</v>
          </cell>
          <cell r="B522" t="str">
            <v>60 -  TRANSFERS</v>
          </cell>
          <cell r="C522" t="str">
            <v>xzero</v>
          </cell>
        </row>
        <row r="523">
          <cell r="A523" t="str">
            <v>990022 - TO-MYERS PARK OPERATING</v>
          </cell>
          <cell r="B523" t="str">
            <v>60 -  TRANSFERS</v>
          </cell>
          <cell r="C523" t="str">
            <v>xzero</v>
          </cell>
        </row>
        <row r="524">
          <cell r="A524" t="str">
            <v>990029 - TO-COURTHOUSE SECURITY</v>
          </cell>
          <cell r="B524" t="str">
            <v>60 -  TRANSFERS</v>
          </cell>
          <cell r="C524" t="str">
            <v>xzero</v>
          </cell>
        </row>
        <row r="525">
          <cell r="A525" t="str">
            <v>990030 - TO-CODE INSPECTION</v>
          </cell>
          <cell r="B525" t="str">
            <v>60 -  TRANSFERS</v>
          </cell>
          <cell r="C525" t="str">
            <v>xzero</v>
          </cell>
        </row>
        <row r="526">
          <cell r="A526" t="str">
            <v>990041 - TO-JUVENILE ALTERNATIVE ED</v>
          </cell>
          <cell r="B526" t="str">
            <v>60 -  TRANSFERS</v>
          </cell>
          <cell r="C526" t="str">
            <v>xzero</v>
          </cell>
        </row>
        <row r="527">
          <cell r="A527" t="str">
            <v>990045 - TO-OUT OF COUNTY SEX OFFENDER</v>
          </cell>
          <cell r="B527" t="str">
            <v>60 -  TRANSFERS</v>
          </cell>
          <cell r="C527" t="str">
            <v>xzero</v>
          </cell>
        </row>
        <row r="528">
          <cell r="A528" t="str">
            <v>990499 - TO-PERMANENT IMPROVEMENT</v>
          </cell>
          <cell r="B528" t="str">
            <v>60 -  TRANSFERS</v>
          </cell>
          <cell r="C528" t="str">
            <v>xzero</v>
          </cell>
        </row>
        <row r="529">
          <cell r="A529" t="str">
            <v>990997 - TO-FREEDOM PHONE</v>
          </cell>
          <cell r="B529" t="str">
            <v>60 -  TRANSFERS</v>
          </cell>
          <cell r="C529" t="str">
            <v>xzero</v>
          </cell>
        </row>
        <row r="530">
          <cell r="A530" t="str">
            <v>990998 - TO-DA SPECIAL SERVICE FEE</v>
          </cell>
          <cell r="B530" t="str">
            <v>60 -  TRANSFERS</v>
          </cell>
          <cell r="C530" t="str">
            <v>xzero</v>
          </cell>
        </row>
        <row r="531">
          <cell r="A531" t="str">
            <v>990999 - TO-DA SPECIAL DRUG FORFEITURE</v>
          </cell>
          <cell r="B531" t="str">
            <v>60 -  TRANSFERS</v>
          </cell>
          <cell r="C531" t="str">
            <v>xzero</v>
          </cell>
        </row>
        <row r="532">
          <cell r="A532" t="str">
            <v>991017 - TO-TAX A/C MOTOR VEHICLE TAX</v>
          </cell>
          <cell r="B532" t="str">
            <v>60 -  TRANSFERS</v>
          </cell>
          <cell r="C532" t="str">
            <v>xzero</v>
          </cell>
        </row>
        <row r="533">
          <cell r="A533" t="str">
            <v>991021 - TO-LAW LIBRARY</v>
          </cell>
          <cell r="B533" t="str">
            <v>60 -  TRANSFERS</v>
          </cell>
          <cell r="C533" t="str">
            <v>xzero</v>
          </cell>
        </row>
        <row r="534">
          <cell r="A534" t="str">
            <v>991026 - TO-DISTRICT CLK REC MGMT &amp; PRE</v>
          </cell>
          <cell r="B534" t="str">
            <v>60 -  TRANSFERS</v>
          </cell>
          <cell r="C534" t="str">
            <v>xzero</v>
          </cell>
        </row>
        <row r="535">
          <cell r="A535" t="str">
            <v>991035 - TO-ELECTION EQUIPMENT</v>
          </cell>
          <cell r="B535" t="str">
            <v>60 -  TRANSFERS</v>
          </cell>
          <cell r="C535" t="str">
            <v>xzero</v>
          </cell>
        </row>
        <row r="536">
          <cell r="A536" t="str">
            <v>991038 - TO-DA SERVICE FEE</v>
          </cell>
          <cell r="B536" t="str">
            <v>60 -  TRANSFERS</v>
          </cell>
          <cell r="C536" t="str">
            <v>xzero</v>
          </cell>
        </row>
        <row r="537">
          <cell r="A537" t="str">
            <v>991040 - TO-HEALTHCARE FOUNDATION</v>
          </cell>
          <cell r="B537" t="str">
            <v>60 -  TRANSFERS</v>
          </cell>
          <cell r="C537" t="str">
            <v>xzero</v>
          </cell>
        </row>
        <row r="538">
          <cell r="A538" t="str">
            <v>991044 - TO-COUNTY REC MGMT &amp; PRES</v>
          </cell>
          <cell r="B538" t="str">
            <v>60 -  TRANSFERS</v>
          </cell>
          <cell r="C538" t="str">
            <v>xzero</v>
          </cell>
        </row>
        <row r="539">
          <cell r="A539" t="str">
            <v>991050 - TO-DRUG COURT PROGRAM</v>
          </cell>
          <cell r="B539" t="str">
            <v>60 -  TRANSFERS</v>
          </cell>
          <cell r="C539" t="str">
            <v>xzero</v>
          </cell>
        </row>
        <row r="540">
          <cell r="A540" t="str">
            <v>991051 - TO-SCAAP</v>
          </cell>
          <cell r="B540" t="str">
            <v>60 -  TRANSFERS</v>
          </cell>
          <cell r="C540" t="str">
            <v>xzero</v>
          </cell>
        </row>
        <row r="541">
          <cell r="A541" t="str">
            <v>991054 - TO-PROBATE CONTRIBUTIONS</v>
          </cell>
          <cell r="B541" t="str">
            <v>60 -  TRANSFERS</v>
          </cell>
          <cell r="C541" t="str">
            <v>xzero</v>
          </cell>
        </row>
        <row r="542">
          <cell r="A542" t="str">
            <v>991057 - TO-DA APPORTIONMENT</v>
          </cell>
          <cell r="B542" t="str">
            <v>60 -  TRANSFERS</v>
          </cell>
          <cell r="C542" t="str">
            <v>xzero</v>
          </cell>
        </row>
        <row r="543">
          <cell r="A543" t="str">
            <v>991058 - TO-JUSTICE CRT BLDG SECURITY</v>
          </cell>
          <cell r="B543" t="str">
            <v>60 -  TRANSFERS</v>
          </cell>
          <cell r="C543" t="str">
            <v>xzero</v>
          </cell>
        </row>
        <row r="544">
          <cell r="A544" t="str">
            <v>991065 - TO-SHERIFF FORFEITURE FED</v>
          </cell>
          <cell r="B544" t="str">
            <v>60 -  TRANSFERS</v>
          </cell>
          <cell r="C544" t="str">
            <v>xzero</v>
          </cell>
        </row>
        <row r="545">
          <cell r="A545" t="str">
            <v>991998 - TO-VETERANS COURT PROGRAM</v>
          </cell>
          <cell r="B545" t="str">
            <v>60 -  TRANSFERS</v>
          </cell>
          <cell r="C545" t="str">
            <v>xzero</v>
          </cell>
        </row>
        <row r="546">
          <cell r="A546" t="str">
            <v>992101 - TO-FEDERAL GRANTS</v>
          </cell>
          <cell r="B546" t="str">
            <v>60 -  TRANSFERS</v>
          </cell>
          <cell r="C546" t="str">
            <v>xzero</v>
          </cell>
        </row>
        <row r="547">
          <cell r="A547" t="str">
            <v>992102 - TO-PUBLIC HEALTH EMERG PREPD</v>
          </cell>
          <cell r="B547" t="str">
            <v>60 -  TRANSFERS</v>
          </cell>
          <cell r="C547" t="str">
            <v>xzero</v>
          </cell>
        </row>
        <row r="548">
          <cell r="A548" t="str">
            <v>992106 - TO-LLEBG 2003</v>
          </cell>
          <cell r="B548" t="str">
            <v>60 -  TRANSFERS</v>
          </cell>
          <cell r="C548" t="str">
            <v>xzero</v>
          </cell>
        </row>
        <row r="549">
          <cell r="A549" t="str">
            <v>992107 - TO-LLEBG 2004</v>
          </cell>
          <cell r="B549" t="str">
            <v>60 -  TRANSFERS</v>
          </cell>
          <cell r="C549" t="str">
            <v>xzero</v>
          </cell>
        </row>
        <row r="550">
          <cell r="A550" t="str">
            <v>992108 - TO-HEALTHCARE GRANTS</v>
          </cell>
          <cell r="B550" t="str">
            <v>60 -  TRANSFERS</v>
          </cell>
          <cell r="C550" t="str">
            <v>xzero</v>
          </cell>
        </row>
        <row r="551">
          <cell r="A551" t="str">
            <v>992111 - TO-LLEBG 2002</v>
          </cell>
          <cell r="B551" t="str">
            <v>60 -  TRANSFERS</v>
          </cell>
          <cell r="C551" t="str">
            <v>xzero</v>
          </cell>
        </row>
        <row r="552">
          <cell r="A552" t="str">
            <v>992121 - TO-2012 JUSTICE ASST GRANT</v>
          </cell>
          <cell r="B552" t="str">
            <v>60 -  TRANSFERS</v>
          </cell>
          <cell r="C552" t="str">
            <v>xzero</v>
          </cell>
        </row>
        <row r="553">
          <cell r="A553" t="str">
            <v>992580 - TO-STATE GRANTS</v>
          </cell>
          <cell r="B553" t="str">
            <v>60 -  TRANSFERS</v>
          </cell>
          <cell r="C553" t="str">
            <v>xzero</v>
          </cell>
        </row>
        <row r="554">
          <cell r="A554" t="str">
            <v>992581 - TO-TCEQ GRANT</v>
          </cell>
          <cell r="B554" t="str">
            <v>60 -  TRANSFERS</v>
          </cell>
          <cell r="C554" t="str">
            <v>xzero</v>
          </cell>
        </row>
        <row r="555">
          <cell r="A555" t="str">
            <v>992582 - TO-JUV ACCT INC BLOCK GRANT</v>
          </cell>
          <cell r="B555" t="str">
            <v>60 -  TRANSFERS</v>
          </cell>
          <cell r="C555" t="str">
            <v>xzero</v>
          </cell>
        </row>
        <row r="556">
          <cell r="A556" t="str">
            <v>992761 - TO-PRIVATE SECTOR GRANTS</v>
          </cell>
          <cell r="B556" t="str">
            <v>60 -  TRANSFERS</v>
          </cell>
          <cell r="C556" t="str">
            <v>xzero</v>
          </cell>
        </row>
        <row r="557">
          <cell r="A557" t="str">
            <v>992899 - TO-LOCAL AGREEMENT/FUNDING</v>
          </cell>
          <cell r="B557" t="str">
            <v>60 -  TRANSFERS</v>
          </cell>
          <cell r="C557" t="str">
            <v>xzero</v>
          </cell>
        </row>
        <row r="558">
          <cell r="A558" t="str">
            <v>992989 - TO-LLEBG 2001</v>
          </cell>
          <cell r="B558" t="str">
            <v>60 -  TRANSFERS</v>
          </cell>
          <cell r="C558" t="str">
            <v>xzero</v>
          </cell>
        </row>
        <row r="559">
          <cell r="A559" t="str">
            <v>992990 - TO-CRIME PREV GRANT 2000</v>
          </cell>
          <cell r="B559" t="str">
            <v>60 -  TRANSFERS</v>
          </cell>
          <cell r="C559" t="str">
            <v>xzero</v>
          </cell>
        </row>
        <row r="560">
          <cell r="A560" t="str">
            <v>992991 - TO-CRIME PREV GRANT 1999</v>
          </cell>
          <cell r="B560" t="str">
            <v>60 -  TRANSFERS</v>
          </cell>
          <cell r="C560" t="str">
            <v>xzero</v>
          </cell>
        </row>
        <row r="561">
          <cell r="A561" t="str">
            <v>992992 - TO-CRIME PREV GRANT 1998</v>
          </cell>
          <cell r="B561" t="str">
            <v>60 -  TRANSFERS</v>
          </cell>
          <cell r="C561" t="str">
            <v>xzero</v>
          </cell>
        </row>
        <row r="562">
          <cell r="A562" t="str">
            <v>992993 - TO-VOCA GRANT</v>
          </cell>
          <cell r="B562" t="str">
            <v>60 -  TRANSFERS</v>
          </cell>
          <cell r="C562" t="str">
            <v>xzero</v>
          </cell>
        </row>
        <row r="563">
          <cell r="A563" t="str">
            <v>992994 - TO-CRIME PREV GRANT 1997</v>
          </cell>
          <cell r="B563" t="str">
            <v>60 -  TRANSFERS</v>
          </cell>
          <cell r="C563" t="str">
            <v>xzero</v>
          </cell>
        </row>
        <row r="564">
          <cell r="A564" t="str">
            <v>992995 - TO-CRIME PREV GRANT</v>
          </cell>
          <cell r="B564" t="str">
            <v>60 -  TRANSFERS</v>
          </cell>
          <cell r="C564" t="str">
            <v>xzero</v>
          </cell>
        </row>
        <row r="565">
          <cell r="A565" t="str">
            <v>992999 - TO-TDCJ-CJAD TRACKING SYS</v>
          </cell>
          <cell r="B565" t="str">
            <v>60 -  TRANSFERS</v>
          </cell>
          <cell r="C565" t="str">
            <v>xzero</v>
          </cell>
        </row>
        <row r="566">
          <cell r="A566" t="str">
            <v>993001 - TO-DEBT SERVICE</v>
          </cell>
          <cell r="B566" t="str">
            <v>60 -  TRANSFERS</v>
          </cell>
          <cell r="C566" t="str">
            <v>xzero</v>
          </cell>
        </row>
        <row r="567">
          <cell r="A567" t="str">
            <v>993901 - TO-LTD TAX PERM IMP 02 DS</v>
          </cell>
          <cell r="B567" t="str">
            <v>60 -  TRANSFERS</v>
          </cell>
          <cell r="C567" t="str">
            <v>xzero</v>
          </cell>
        </row>
        <row r="568">
          <cell r="A568" t="str">
            <v>993902 - TO-LTD TAX PI &amp; RFND 04 DS</v>
          </cell>
          <cell r="B568" t="str">
            <v>60 -  TRANSFERS</v>
          </cell>
          <cell r="C568" t="str">
            <v>xzero</v>
          </cell>
        </row>
        <row r="569">
          <cell r="A569" t="str">
            <v>993903 - TO-LTD TAX PI &amp; RFND 05 DS</v>
          </cell>
          <cell r="B569" t="str">
            <v>60 -  TRANSFERS</v>
          </cell>
          <cell r="C569" t="str">
            <v>xzero</v>
          </cell>
        </row>
        <row r="570">
          <cell r="A570" t="str">
            <v>993904 - TO-LTD TAX PERM IMP 06 DS</v>
          </cell>
          <cell r="B570" t="str">
            <v>60 -  TRANSFERS</v>
          </cell>
          <cell r="C570" t="str">
            <v>xzero</v>
          </cell>
        </row>
        <row r="571">
          <cell r="A571" t="str">
            <v>993906 - TO-LTD TAX PI &amp; RFND 08 DS</v>
          </cell>
          <cell r="B571" t="str">
            <v>60 -  TRANSFERS</v>
          </cell>
          <cell r="C571" t="str">
            <v>xzero</v>
          </cell>
        </row>
        <row r="572">
          <cell r="A572" t="str">
            <v>993910 - TO-LTD TAX PI &amp; RFND 12 DS</v>
          </cell>
          <cell r="B572" t="str">
            <v>60 -  TRANSFERS</v>
          </cell>
          <cell r="C572" t="str">
            <v>xzero</v>
          </cell>
        </row>
        <row r="573">
          <cell r="A573" t="str">
            <v>993913 - TO-OPEN SPACE DS</v>
          </cell>
          <cell r="B573" t="str">
            <v>60 -  TRANSFERS</v>
          </cell>
          <cell r="C573" t="str">
            <v>xzero</v>
          </cell>
        </row>
        <row r="574">
          <cell r="A574" t="str">
            <v>993915 - TO-CAP IMP 93 CO DS</v>
          </cell>
          <cell r="B574" t="str">
            <v>60 -  TRANSFERS</v>
          </cell>
          <cell r="C574" t="str">
            <v>xzero</v>
          </cell>
        </row>
        <row r="575">
          <cell r="A575" t="str">
            <v>993916 - TO-CAP IMP 93 COBS DS</v>
          </cell>
          <cell r="B575" t="str">
            <v>60 -  TRANSFERS</v>
          </cell>
          <cell r="C575" t="str">
            <v>xzero</v>
          </cell>
        </row>
        <row r="576">
          <cell r="A576" t="str">
            <v>993918 - TO-CAP IMP 94 COB DS</v>
          </cell>
          <cell r="B576" t="str">
            <v>60 -  TRANSFERS</v>
          </cell>
          <cell r="C576" t="str">
            <v>xzero</v>
          </cell>
        </row>
        <row r="577">
          <cell r="A577" t="str">
            <v>993919 - TO-CAP IMP 94A COB DS</v>
          </cell>
          <cell r="B577" t="str">
            <v>60 -  TRANSFERS</v>
          </cell>
          <cell r="C577" t="str">
            <v>xzero</v>
          </cell>
        </row>
        <row r="578">
          <cell r="A578" t="str">
            <v>993920 - TO-JUV DETENTION FACL 95 DS</v>
          </cell>
          <cell r="B578" t="str">
            <v>60 -  TRANSFERS</v>
          </cell>
          <cell r="C578" t="str">
            <v>xzero</v>
          </cell>
        </row>
        <row r="579">
          <cell r="A579" t="str">
            <v>993921 - TO-JAIL DEVELOPMENT DS</v>
          </cell>
          <cell r="B579" t="str">
            <v>60 -  TRANSFERS</v>
          </cell>
          <cell r="C579" t="str">
            <v>xzero</v>
          </cell>
        </row>
        <row r="580">
          <cell r="A580" t="str">
            <v>993923 - TO-LTD TAX PERM IMP 99 DS</v>
          </cell>
          <cell r="B580" t="str">
            <v>60 -  TRANSFERS</v>
          </cell>
          <cell r="C580" t="str">
            <v>xzero</v>
          </cell>
        </row>
        <row r="581">
          <cell r="A581" t="str">
            <v>993925 - TO-LTD TAX PERM IMP 00 DS</v>
          </cell>
          <cell r="B581" t="str">
            <v>60 -  TRANSFERS</v>
          </cell>
          <cell r="C581" t="str">
            <v>xzero</v>
          </cell>
        </row>
        <row r="582">
          <cell r="A582" t="str">
            <v>993926 - TO-LTD TAX PERM IMP 01 DS</v>
          </cell>
          <cell r="B582" t="str">
            <v>60 -  TRANSFERS</v>
          </cell>
          <cell r="C582" t="str">
            <v>xzero</v>
          </cell>
        </row>
        <row r="583">
          <cell r="A583" t="str">
            <v>993927 - TO-UNL TAX ROAD &amp; RFND 04 DS</v>
          </cell>
          <cell r="B583" t="str">
            <v>60 -  TRANSFERS</v>
          </cell>
          <cell r="C583" t="str">
            <v>xzero</v>
          </cell>
        </row>
        <row r="584">
          <cell r="A584" t="str">
            <v>993928 - TO-UNL TAX ROAD &amp; RFND 05 DS</v>
          </cell>
          <cell r="B584" t="str">
            <v>60 -  TRANSFERS</v>
          </cell>
          <cell r="C584" t="str">
            <v>xzero</v>
          </cell>
        </row>
        <row r="585">
          <cell r="A585" t="str">
            <v>993930 - TO-UNL TAX ROAD &amp; RFND 07 DS</v>
          </cell>
          <cell r="B585" t="str">
            <v>60 -  TRANSFERS</v>
          </cell>
          <cell r="C585" t="str">
            <v>xzero</v>
          </cell>
        </row>
        <row r="586">
          <cell r="A586" t="str">
            <v>993931 - TO-UNL TAX ROAD 08 DS</v>
          </cell>
          <cell r="B586" t="str">
            <v>60 -  TRANSFERS</v>
          </cell>
          <cell r="C586" t="str">
            <v>xzero</v>
          </cell>
        </row>
        <row r="587">
          <cell r="A587" t="str">
            <v>993933 - TO-UNL TAX ROAD BAB 09B DS</v>
          </cell>
          <cell r="B587" t="str">
            <v>60 -  TRANSFERS</v>
          </cell>
          <cell r="C587" t="str">
            <v>xzero</v>
          </cell>
        </row>
        <row r="588">
          <cell r="A588" t="str">
            <v>993935 - TO-UNL TAX ROAD &amp; RFND 12 DS</v>
          </cell>
          <cell r="B588" t="str">
            <v>60 -  TRANSFERS</v>
          </cell>
          <cell r="C588" t="str">
            <v>xzero</v>
          </cell>
        </row>
        <row r="589">
          <cell r="A589" t="str">
            <v>993940 - TO-UNL TAX ROAD 00 DS</v>
          </cell>
          <cell r="B589" t="str">
            <v>60 -  TRANSFERS</v>
          </cell>
          <cell r="C589" t="str">
            <v>xzero</v>
          </cell>
        </row>
        <row r="590">
          <cell r="A590" t="str">
            <v>993941 - TO-UNL TAX ROAD 01 DS</v>
          </cell>
          <cell r="B590" t="str">
            <v>60 -  TRANSFERS</v>
          </cell>
          <cell r="C590" t="str">
            <v>xzero</v>
          </cell>
        </row>
        <row r="591">
          <cell r="A591" t="str">
            <v>993942 - TO-UNL TAX ROAD 97 DS</v>
          </cell>
          <cell r="B591" t="str">
            <v>60 -  TRANSFERS</v>
          </cell>
          <cell r="C591" t="str">
            <v>xzero</v>
          </cell>
        </row>
        <row r="592">
          <cell r="A592" t="str">
            <v>993943 - TO-TAX NOTES 06 DS</v>
          </cell>
          <cell r="B592" t="str">
            <v>60 -  TRANSFERS</v>
          </cell>
          <cell r="C592" t="str">
            <v>xzero</v>
          </cell>
        </row>
        <row r="593">
          <cell r="A593" t="str">
            <v>993944 - TO-TAX NOTES CAP IMPR 96 DS</v>
          </cell>
          <cell r="B593" t="str">
            <v>60 -  TRANSFERS</v>
          </cell>
          <cell r="C593" t="str">
            <v>xzero</v>
          </cell>
        </row>
        <row r="594">
          <cell r="A594" t="str">
            <v>993945 - TO-TAX NOTES CAP IMPR 01 DS</v>
          </cell>
          <cell r="B594" t="str">
            <v>60 -  TRANSFERS</v>
          </cell>
          <cell r="C594" t="str">
            <v>xzero</v>
          </cell>
        </row>
        <row r="595">
          <cell r="A595" t="str">
            <v>993947 - TO-TAX NOTES 02 DS</v>
          </cell>
          <cell r="B595" t="str">
            <v>60 -  TRANSFERS</v>
          </cell>
          <cell r="C595" t="str">
            <v>xzero</v>
          </cell>
        </row>
        <row r="596">
          <cell r="A596" t="str">
            <v>993948 - TO-TAX NOTES 04 DS</v>
          </cell>
          <cell r="B596" t="str">
            <v>60 -  TRANSFERS</v>
          </cell>
          <cell r="C596" t="str">
            <v>xzero</v>
          </cell>
        </row>
        <row r="597">
          <cell r="A597" t="str">
            <v>993949 - TO-UNL TAX RFND 11 DS</v>
          </cell>
          <cell r="B597" t="str">
            <v>60 -  TRANSFERS</v>
          </cell>
          <cell r="C597" t="str">
            <v>xzero</v>
          </cell>
        </row>
        <row r="598">
          <cell r="A598" t="str">
            <v>993950 - TO-LTD TAX RFND 11 DS</v>
          </cell>
          <cell r="B598" t="str">
            <v>60 -  TRANSFERS</v>
          </cell>
          <cell r="C598" t="str">
            <v>xzero</v>
          </cell>
        </row>
        <row r="599">
          <cell r="A599" t="str">
            <v>993951 - TO-OPEN SPACE REFUNDING DS</v>
          </cell>
          <cell r="B599" t="str">
            <v>60 -  TRANSFERS</v>
          </cell>
          <cell r="C599" t="str">
            <v>xzero</v>
          </cell>
        </row>
        <row r="600">
          <cell r="A600" t="str">
            <v>993953 - TO-UNL TAX REFUNDING 93 DS</v>
          </cell>
          <cell r="B600" t="str">
            <v>60 -  TRANSFERS</v>
          </cell>
          <cell r="C600" t="str">
            <v>xzero</v>
          </cell>
        </row>
        <row r="601">
          <cell r="A601" t="str">
            <v>993954 - TO-CRIMINAL JUSTICE RFND DS</v>
          </cell>
          <cell r="B601" t="str">
            <v>60 -  TRANSFERS</v>
          </cell>
          <cell r="C601" t="str">
            <v>xzero</v>
          </cell>
        </row>
        <row r="602">
          <cell r="A602" t="str">
            <v>993956 - TO-DS-CAPITAL IMPROVE TN 96</v>
          </cell>
          <cell r="B602" t="str">
            <v>60 -  TRANSFERS</v>
          </cell>
          <cell r="C602" t="str">
            <v>xzero</v>
          </cell>
        </row>
        <row r="603">
          <cell r="A603" t="str">
            <v>994003 - TO-LTD TAX PERM IMP 01</v>
          </cell>
          <cell r="B603" t="str">
            <v>60 -  TRANSFERS</v>
          </cell>
          <cell r="C603" t="str">
            <v>xzero</v>
          </cell>
        </row>
        <row r="604">
          <cell r="A604" t="str">
            <v>994009 - TO-LTD TX PI 2008 07PROJ</v>
          </cell>
          <cell r="B604" t="str">
            <v>60 -  TRANSFERS</v>
          </cell>
          <cell r="C604" t="str">
            <v>xzero</v>
          </cell>
        </row>
        <row r="605">
          <cell r="A605" t="str">
            <v>994284 - TO-UNL TAX ROAD 95/97</v>
          </cell>
          <cell r="B605" t="str">
            <v>60 -  TRANSFERS</v>
          </cell>
          <cell r="C605" t="str">
            <v>xzero</v>
          </cell>
        </row>
        <row r="606">
          <cell r="A606" t="str">
            <v>994403 - TO-TAX NOTES CAP IMP 01A</v>
          </cell>
          <cell r="B606" t="str">
            <v>60 -  TRANSFERS</v>
          </cell>
          <cell r="C606" t="str">
            <v>xzero</v>
          </cell>
        </row>
        <row r="607">
          <cell r="A607" t="str">
            <v>995501 - TO-LIABILITY INSURANCE</v>
          </cell>
          <cell r="B607" t="str">
            <v>60 -  TRANSFERS</v>
          </cell>
          <cell r="C607" t="str">
            <v>xzero</v>
          </cell>
        </row>
        <row r="608">
          <cell r="A608" t="str">
            <v>995502 - TO-WORKERS' COMPENSATION INS</v>
          </cell>
          <cell r="B608" t="str">
            <v>60 -  TRANSFERS</v>
          </cell>
          <cell r="C608" t="str">
            <v>xzero</v>
          </cell>
        </row>
        <row r="609">
          <cell r="A609" t="str">
            <v>995505 - TO-INSURANCE CLAIM</v>
          </cell>
          <cell r="B609" t="str">
            <v>60 -  TRANSFERS</v>
          </cell>
          <cell r="C609" t="str">
            <v>xzero</v>
          </cell>
        </row>
        <row r="610">
          <cell r="A610" t="str">
            <v>995799 - TO-OPEB</v>
          </cell>
          <cell r="B610" t="str">
            <v>60 -  TRANSFERS</v>
          </cell>
          <cell r="C610" t="str">
            <v>xzero</v>
          </cell>
        </row>
        <row r="611">
          <cell r="A611" t="str">
            <v>995990 - TO-ANIMAL SAFETY</v>
          </cell>
          <cell r="B611" t="str">
            <v>60 -  TRANSFERS</v>
          </cell>
          <cell r="C611" t="str">
            <v>xzero</v>
          </cell>
        </row>
        <row r="612">
          <cell r="A612" t="str">
            <v>995991 - TO-ANIMAL SHELTER PROGRAM</v>
          </cell>
          <cell r="B612" t="str">
            <v>60 -  TRANSFERS</v>
          </cell>
          <cell r="C612" t="str">
            <v>xzero</v>
          </cell>
        </row>
        <row r="613">
          <cell r="A613" t="str">
            <v>995999 - TO-CC TOLL ROAD AUTHORITY</v>
          </cell>
          <cell r="B613" t="str">
            <v>60 -  TRANSFERS</v>
          </cell>
          <cell r="C613" t="str">
            <v>xzero</v>
          </cell>
        </row>
        <row r="614">
          <cell r="A614" t="str">
            <v>996050 - TO-JUDICIAL DISTRICT</v>
          </cell>
          <cell r="B614" t="str">
            <v>60 -  TRANSFERS</v>
          </cell>
          <cell r="C614" t="str">
            <v>xzero</v>
          </cell>
        </row>
        <row r="615">
          <cell r="A615" t="str">
            <v>996051 - TO-DP-SC MENTALLY IMPAIRED</v>
          </cell>
          <cell r="B615" t="str">
            <v>60 -  TRANSFERS</v>
          </cell>
          <cell r="C615" t="str">
            <v>xzero</v>
          </cell>
        </row>
        <row r="616">
          <cell r="A616" t="str">
            <v>996052 - TO-CCP-NEW CASELOAD REDUCTN</v>
          </cell>
          <cell r="B616" t="str">
            <v>60 -  TRANSFERS</v>
          </cell>
          <cell r="C616" t="str">
            <v>xzero</v>
          </cell>
        </row>
        <row r="617">
          <cell r="A617" t="str">
            <v>996053 - TO-CCP-COMM CORRECTIONS FAC</v>
          </cell>
          <cell r="B617" t="str">
            <v>60 -  TRANSFERS</v>
          </cell>
          <cell r="C617" t="str">
            <v>xzero</v>
          </cell>
        </row>
        <row r="618">
          <cell r="A618" t="str">
            <v>996054 - TO-CCP-ENCHANCED SUP STRATEG</v>
          </cell>
          <cell r="B618" t="str">
            <v>60 -  TRANSFERS</v>
          </cell>
          <cell r="C618" t="str">
            <v>xzero</v>
          </cell>
        </row>
        <row r="619">
          <cell r="A619" t="str">
            <v>996055 - TO-DP-SC SEX OFFENDER</v>
          </cell>
          <cell r="B619" t="str">
            <v>60 -  TRANSFERS</v>
          </cell>
          <cell r="C619" t="str">
            <v>xzero</v>
          </cell>
        </row>
        <row r="620">
          <cell r="A620" t="str">
            <v>996056 - TO-DP-SC YOUTHFUL OFFENDER</v>
          </cell>
          <cell r="B620" t="str">
            <v>60 -  TRANSFERS</v>
          </cell>
          <cell r="C620" t="str">
            <v>xzero</v>
          </cell>
        </row>
        <row r="621">
          <cell r="A621" t="str">
            <v>996057 - TO-TAIP</v>
          </cell>
          <cell r="B621" t="str">
            <v>60 -  TRANSFERS</v>
          </cell>
          <cell r="C621" t="str">
            <v>xzero</v>
          </cell>
        </row>
        <row r="622">
          <cell r="A622" t="str">
            <v>996058 - TO-DP-SC SUBSTANCE ABUSE</v>
          </cell>
          <cell r="B622" t="str">
            <v>60 -  TRANSFERS</v>
          </cell>
          <cell r="C622" t="str">
            <v>xzero</v>
          </cell>
        </row>
        <row r="623">
          <cell r="A623" t="str">
            <v>996800 - TO-CPS BOARD</v>
          </cell>
          <cell r="B623" t="str">
            <v>60 -  TRANSFERS</v>
          </cell>
          <cell r="C623" t="str">
            <v>xzero</v>
          </cell>
        </row>
        <row r="624">
          <cell r="A624" t="str">
            <v>999971 - TO_GASB 34 CONVERSION</v>
          </cell>
          <cell r="B624" t="str">
            <v>60 -  TRANSFERS</v>
          </cell>
          <cell r="C624" t="str">
            <v>xzero</v>
          </cell>
        </row>
        <row r="625">
          <cell r="A625" t="str">
            <v>653802 - MISC-91 AND PRIOR CJAD FEES</v>
          </cell>
          <cell r="B625" t="str">
            <v>99 -  UNBUDGETED</v>
          </cell>
          <cell r="C625" t="str">
            <v>xzero</v>
          </cell>
        </row>
        <row r="626">
          <cell r="A626" t="str">
            <v>970101 - FULL ACR CONV-CUR EXP ADJUST</v>
          </cell>
          <cell r="B626" t="str">
            <v>99 -  UNBUDGETED</v>
          </cell>
          <cell r="C626" t="str">
            <v>xzero</v>
          </cell>
        </row>
        <row r="627">
          <cell r="A627" t="str">
            <v>970102 - FULL ACR CONV-DEPR EXP</v>
          </cell>
          <cell r="B627" t="str">
            <v>99 -  UNBUDGETED</v>
          </cell>
          <cell r="C627" t="str">
            <v>xzero</v>
          </cell>
        </row>
        <row r="628">
          <cell r="A628" t="str">
            <v>970103 - FULL ACR CONV-CAP OUTLAY ADJ</v>
          </cell>
          <cell r="B628" t="str">
            <v>99 -  UNBUDGETED</v>
          </cell>
          <cell r="C628" t="str">
            <v>xzero</v>
          </cell>
        </row>
        <row r="629">
          <cell r="A629" t="str">
            <v>970120 - FULL ACR CONV-DISTR/ESCR AGNT</v>
          </cell>
          <cell r="B629" t="str">
            <v>99 -  UNBUDGETED</v>
          </cell>
          <cell r="C629" t="str">
            <v>xzero</v>
          </cell>
        </row>
      </sheetData>
      <sheetData sheetId="10"/>
    </sheetDataSet>
  </externalBook>
</externalLink>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58CC6-52A7-448E-BB88-BBFAD205CD14}">
  <sheetPr>
    <tabColor rgb="FFFFFF00"/>
    <pageSetUpPr fitToPage="1"/>
  </sheetPr>
  <dimension ref="A1:O68"/>
  <sheetViews>
    <sheetView tabSelected="1" zoomScaleNormal="100" workbookViewId="0">
      <selection sqref="A1:M1"/>
    </sheetView>
  </sheetViews>
  <sheetFormatPr defaultColWidth="8.88671875" defaultRowHeight="14.4" x14ac:dyDescent="0.3"/>
  <cols>
    <col min="1" max="1" width="6" style="30" bestFit="1" customWidth="1"/>
    <col min="2" max="2" width="5" style="30" bestFit="1" customWidth="1"/>
    <col min="3" max="3" width="10.6640625" style="30" bestFit="1" customWidth="1"/>
    <col min="4" max="4" width="6.6640625" style="30" bestFit="1" customWidth="1"/>
    <col min="5" max="5" width="53.44140625" style="30" bestFit="1" customWidth="1"/>
    <col min="6" max="6" width="7.33203125" style="30" bestFit="1" customWidth="1"/>
    <col min="7" max="7" width="48" style="30" bestFit="1" customWidth="1"/>
    <col min="8" max="8" width="10.5546875" style="30" customWidth="1"/>
    <col min="9" max="9" width="17.6640625" style="30" bestFit="1" customWidth="1"/>
    <col min="10" max="10" width="18.33203125" style="30" bestFit="1" customWidth="1"/>
    <col min="11" max="11" width="19.5546875" style="30" bestFit="1" customWidth="1"/>
    <col min="12" max="12" width="9.109375" style="30" bestFit="1" customWidth="1"/>
    <col min="13" max="13" width="31.6640625" style="30" customWidth="1"/>
    <col min="14" max="16384" width="8.88671875" style="30"/>
  </cols>
  <sheetData>
    <row r="1" spans="1:15" ht="15.6" x14ac:dyDescent="0.3">
      <c r="A1" s="294" t="s">
        <v>327</v>
      </c>
      <c r="B1" s="294"/>
      <c r="C1" s="294"/>
      <c r="D1" s="294"/>
      <c r="E1" s="294"/>
      <c r="F1" s="294"/>
      <c r="G1" s="294"/>
      <c r="H1" s="294"/>
      <c r="I1" s="294"/>
      <c r="J1" s="294"/>
      <c r="K1" s="294"/>
      <c r="L1" s="294"/>
      <c r="M1" s="294"/>
      <c r="O1" s="33" t="s">
        <v>182</v>
      </c>
    </row>
    <row r="2" spans="1:15" s="32" customFormat="1" ht="6" customHeight="1" x14ac:dyDescent="0.3">
      <c r="A2" s="74"/>
      <c r="B2" s="74"/>
      <c r="C2" s="74"/>
      <c r="D2" s="74"/>
      <c r="E2" s="75"/>
      <c r="F2" s="76"/>
      <c r="G2" s="75"/>
      <c r="H2" s="77"/>
      <c r="I2" s="78"/>
      <c r="J2" s="78"/>
      <c r="K2" s="78"/>
      <c r="L2" s="78"/>
      <c r="M2" s="78"/>
      <c r="O2" s="33" t="s">
        <v>231</v>
      </c>
    </row>
    <row r="3" spans="1:15" ht="18" x14ac:dyDescent="0.35">
      <c r="A3" s="313" t="s">
        <v>266</v>
      </c>
      <c r="B3" s="314"/>
      <c r="C3" s="314"/>
      <c r="D3" s="314"/>
      <c r="E3" s="314"/>
      <c r="F3" s="314"/>
      <c r="G3" s="314"/>
      <c r="H3" s="314"/>
      <c r="I3" s="314"/>
      <c r="J3" s="314"/>
      <c r="K3" s="314"/>
      <c r="L3" s="314"/>
      <c r="M3" s="315"/>
    </row>
    <row r="4" spans="1:15" ht="31.8" x14ac:dyDescent="0.3">
      <c r="A4" s="34" t="s">
        <v>181</v>
      </c>
      <c r="B4" s="35" t="s">
        <v>21</v>
      </c>
      <c r="C4" s="35" t="s">
        <v>177</v>
      </c>
      <c r="D4" s="35" t="s">
        <v>22</v>
      </c>
      <c r="E4" s="36" t="s">
        <v>23</v>
      </c>
      <c r="F4" s="37" t="s">
        <v>180</v>
      </c>
      <c r="G4" s="36" t="s">
        <v>24</v>
      </c>
      <c r="H4" s="38" t="s">
        <v>26</v>
      </c>
      <c r="I4" s="39" t="s">
        <v>27</v>
      </c>
      <c r="J4" s="39" t="s">
        <v>28</v>
      </c>
      <c r="K4" s="39" t="s">
        <v>29</v>
      </c>
      <c r="L4" s="93" t="s">
        <v>178</v>
      </c>
      <c r="M4" s="40" t="s">
        <v>179</v>
      </c>
    </row>
    <row r="5" spans="1:15" x14ac:dyDescent="0.3">
      <c r="A5" s="41">
        <v>1</v>
      </c>
      <c r="B5" s="42"/>
      <c r="C5" s="43"/>
      <c r="D5" s="43"/>
      <c r="E5" s="120" t="s">
        <v>317</v>
      </c>
      <c r="F5" s="43"/>
      <c r="G5" s="120" t="s">
        <v>319</v>
      </c>
      <c r="H5" s="45" t="s">
        <v>34</v>
      </c>
      <c r="I5" s="46">
        <v>0</v>
      </c>
      <c r="J5" s="47">
        <v>50000</v>
      </c>
      <c r="K5" s="46">
        <f t="shared" ref="K5:K6" si="0">I5+J5</f>
        <v>50000</v>
      </c>
      <c r="L5" s="45" t="s">
        <v>231</v>
      </c>
      <c r="M5" s="44"/>
    </row>
    <row r="6" spans="1:15" x14ac:dyDescent="0.3">
      <c r="A6" s="41">
        <v>5</v>
      </c>
      <c r="B6" s="42"/>
      <c r="C6" s="43"/>
      <c r="D6" s="43"/>
      <c r="E6" s="120" t="s">
        <v>318</v>
      </c>
      <c r="F6" s="43"/>
      <c r="G6" s="121" t="s">
        <v>320</v>
      </c>
      <c r="H6" s="45" t="s">
        <v>34</v>
      </c>
      <c r="I6" s="46">
        <v>10000</v>
      </c>
      <c r="J6" s="47">
        <v>75000</v>
      </c>
      <c r="K6" s="46">
        <f t="shared" si="0"/>
        <v>85000</v>
      </c>
      <c r="L6" s="45" t="s">
        <v>182</v>
      </c>
      <c r="M6" s="48"/>
    </row>
    <row r="7" spans="1:15" x14ac:dyDescent="0.3">
      <c r="A7" s="56"/>
      <c r="B7" s="56"/>
      <c r="C7" s="56"/>
      <c r="D7" s="56"/>
      <c r="E7" s="56"/>
      <c r="F7" s="56"/>
      <c r="G7" s="57" t="s">
        <v>190</v>
      </c>
      <c r="H7" s="56"/>
      <c r="I7" s="58">
        <f>SUMIF($L5:$L6,"YES",$I5:$I6)</f>
        <v>10000</v>
      </c>
      <c r="J7" s="58">
        <f>SUMIF($L5:$L6,"YES",$J5:$J6)</f>
        <v>75000</v>
      </c>
      <c r="K7" s="58">
        <f>SUMIF($L5:$L6,"YES",$K5:$K6)</f>
        <v>85000</v>
      </c>
      <c r="L7" s="56"/>
      <c r="M7" s="56"/>
    </row>
    <row r="8" spans="1:15" ht="5.4" customHeight="1" x14ac:dyDescent="0.3">
      <c r="A8" s="79"/>
      <c r="B8" s="79"/>
      <c r="C8" s="79"/>
      <c r="D8" s="79"/>
      <c r="E8" s="79"/>
      <c r="F8" s="79"/>
      <c r="G8" s="79"/>
      <c r="H8" s="79"/>
      <c r="I8" s="79"/>
      <c r="J8" s="79"/>
      <c r="K8" s="79"/>
      <c r="L8" s="79"/>
      <c r="M8" s="79"/>
    </row>
    <row r="9" spans="1:15" ht="18" x14ac:dyDescent="0.35">
      <c r="A9" s="313" t="s">
        <v>267</v>
      </c>
      <c r="B9" s="314"/>
      <c r="C9" s="314"/>
      <c r="D9" s="314"/>
      <c r="E9" s="314"/>
      <c r="F9" s="314"/>
      <c r="G9" s="314"/>
      <c r="H9" s="314"/>
      <c r="I9" s="314"/>
      <c r="J9" s="314"/>
      <c r="K9" s="314"/>
      <c r="L9" s="314"/>
      <c r="M9" s="315"/>
    </row>
    <row r="10" spans="1:15" ht="31.8" x14ac:dyDescent="0.3">
      <c r="A10" s="34" t="s">
        <v>181</v>
      </c>
      <c r="B10" s="35" t="s">
        <v>21</v>
      </c>
      <c r="C10" s="35" t="s">
        <v>177</v>
      </c>
      <c r="D10" s="35" t="s">
        <v>22</v>
      </c>
      <c r="E10" s="36" t="s">
        <v>23</v>
      </c>
      <c r="F10" s="37" t="s">
        <v>180</v>
      </c>
      <c r="G10" s="36" t="s">
        <v>24</v>
      </c>
      <c r="H10" s="38" t="s">
        <v>26</v>
      </c>
      <c r="I10" s="39" t="s">
        <v>228</v>
      </c>
      <c r="J10" s="39" t="s">
        <v>229</v>
      </c>
      <c r="K10" s="39" t="s">
        <v>29</v>
      </c>
      <c r="L10" s="93" t="s">
        <v>178</v>
      </c>
      <c r="M10" s="40" t="s">
        <v>179</v>
      </c>
    </row>
    <row r="11" spans="1:15" x14ac:dyDescent="0.3">
      <c r="A11" s="41"/>
      <c r="B11" s="42"/>
      <c r="C11" s="43"/>
      <c r="D11" s="43"/>
      <c r="E11" s="120" t="s">
        <v>321</v>
      </c>
      <c r="F11" s="43"/>
      <c r="G11" s="120" t="s">
        <v>324</v>
      </c>
      <c r="H11" s="45" t="s">
        <v>34</v>
      </c>
      <c r="I11" s="46">
        <v>25000</v>
      </c>
      <c r="J11" s="47">
        <v>100000</v>
      </c>
      <c r="K11" s="46">
        <f t="shared" ref="K11:K13" si="1">I11+J11</f>
        <v>125000</v>
      </c>
      <c r="L11" s="45" t="s">
        <v>182</v>
      </c>
      <c r="M11" s="44"/>
    </row>
    <row r="12" spans="1:15" x14ac:dyDescent="0.3">
      <c r="A12" s="41"/>
      <c r="B12" s="42"/>
      <c r="C12" s="43"/>
      <c r="D12" s="43"/>
      <c r="E12" s="120" t="s">
        <v>322</v>
      </c>
      <c r="F12" s="43"/>
      <c r="G12" s="121" t="s">
        <v>323</v>
      </c>
      <c r="H12" s="45" t="s">
        <v>34</v>
      </c>
      <c r="I12" s="46">
        <v>17000</v>
      </c>
      <c r="J12" s="47">
        <v>75000</v>
      </c>
      <c r="K12" s="46">
        <f t="shared" si="1"/>
        <v>92000</v>
      </c>
      <c r="L12" s="45" t="s">
        <v>231</v>
      </c>
      <c r="M12" s="48"/>
    </row>
    <row r="13" spans="1:15" x14ac:dyDescent="0.3">
      <c r="A13" s="41"/>
      <c r="B13" s="42"/>
      <c r="C13" s="43"/>
      <c r="D13" s="43"/>
      <c r="E13" s="120" t="s">
        <v>325</v>
      </c>
      <c r="F13" s="43"/>
      <c r="G13" s="121" t="s">
        <v>326</v>
      </c>
      <c r="H13" s="45" t="s">
        <v>34</v>
      </c>
      <c r="I13" s="46">
        <v>0</v>
      </c>
      <c r="J13" s="47">
        <v>200000</v>
      </c>
      <c r="K13" s="46">
        <f t="shared" si="1"/>
        <v>200000</v>
      </c>
      <c r="L13" s="45" t="s">
        <v>182</v>
      </c>
      <c r="M13" s="48"/>
    </row>
    <row r="14" spans="1:15" x14ac:dyDescent="0.3">
      <c r="A14" s="56"/>
      <c r="B14" s="56"/>
      <c r="C14" s="56"/>
      <c r="D14" s="56"/>
      <c r="E14" s="56"/>
      <c r="F14" s="56"/>
      <c r="G14" s="57" t="s">
        <v>230</v>
      </c>
      <c r="H14" s="56"/>
      <c r="I14" s="58">
        <f>SUMIF($L11:$L13,"YES",$I11:$I13)</f>
        <v>25000</v>
      </c>
      <c r="J14" s="58">
        <f>SUMIF($L11:$L13,"YES",$J11:$J13)</f>
        <v>300000</v>
      </c>
      <c r="K14" s="58">
        <f>SUMIF($L11:$L13,"YES",$K11:$K13)</f>
        <v>325000</v>
      </c>
      <c r="L14" s="56"/>
      <c r="M14" s="56"/>
    </row>
    <row r="15" spans="1:15" ht="7.95" customHeight="1" x14ac:dyDescent="0.3">
      <c r="A15" s="79"/>
      <c r="B15" s="79"/>
      <c r="C15" s="79"/>
      <c r="D15" s="79"/>
      <c r="E15" s="79"/>
      <c r="F15" s="79"/>
      <c r="G15" s="79"/>
      <c r="H15" s="79"/>
      <c r="I15" s="79"/>
      <c r="J15" s="79"/>
      <c r="K15" s="79"/>
      <c r="L15" s="79"/>
      <c r="M15" s="79"/>
    </row>
    <row r="16" spans="1:15" ht="18" x14ac:dyDescent="0.35">
      <c r="A16" s="313" t="s">
        <v>268</v>
      </c>
      <c r="B16" s="314"/>
      <c r="C16" s="314"/>
      <c r="D16" s="314"/>
      <c r="E16" s="314"/>
      <c r="F16" s="314"/>
      <c r="G16" s="314"/>
      <c r="H16" s="314"/>
      <c r="I16" s="314"/>
      <c r="J16" s="314"/>
      <c r="K16" s="314"/>
      <c r="L16" s="314"/>
      <c r="M16" s="315"/>
    </row>
    <row r="17" spans="1:15" ht="27.6" x14ac:dyDescent="0.3">
      <c r="A17" s="34"/>
      <c r="B17" s="35" t="s">
        <v>21</v>
      </c>
      <c r="C17" s="35" t="s">
        <v>177</v>
      </c>
      <c r="D17" s="35"/>
      <c r="E17" s="36"/>
      <c r="F17" s="37"/>
      <c r="G17" s="316" t="s">
        <v>194</v>
      </c>
      <c r="H17" s="316"/>
      <c r="I17" s="39" t="s">
        <v>183</v>
      </c>
      <c r="J17" s="39" t="s">
        <v>184</v>
      </c>
      <c r="K17" s="39" t="s">
        <v>185</v>
      </c>
      <c r="L17" s="93" t="s">
        <v>178</v>
      </c>
      <c r="M17" s="40" t="s">
        <v>179</v>
      </c>
    </row>
    <row r="18" spans="1:15" ht="14.4" customHeight="1" x14ac:dyDescent="0.3">
      <c r="A18" s="52"/>
      <c r="B18" s="42"/>
      <c r="C18" s="59"/>
      <c r="D18" s="298" t="s">
        <v>328</v>
      </c>
      <c r="E18" s="299"/>
      <c r="F18" s="300"/>
      <c r="G18" s="301" t="s">
        <v>189</v>
      </c>
      <c r="H18" s="302"/>
      <c r="I18" s="46">
        <v>0</v>
      </c>
      <c r="J18" s="47">
        <v>1000000</v>
      </c>
      <c r="K18" s="46">
        <f t="shared" ref="K18:K20" si="2">I18+J18</f>
        <v>1000000</v>
      </c>
      <c r="L18" s="45" t="s">
        <v>182</v>
      </c>
      <c r="M18" s="48"/>
    </row>
    <row r="19" spans="1:15" x14ac:dyDescent="0.3">
      <c r="A19" s="41"/>
      <c r="B19" s="42"/>
      <c r="C19" s="59"/>
      <c r="D19" s="298" t="s">
        <v>328</v>
      </c>
      <c r="E19" s="299"/>
      <c r="F19" s="300"/>
      <c r="G19" s="301" t="s">
        <v>187</v>
      </c>
      <c r="H19" s="302"/>
      <c r="I19" s="46">
        <v>0</v>
      </c>
      <c r="J19" s="47">
        <v>250000</v>
      </c>
      <c r="K19" s="46">
        <f t="shared" si="2"/>
        <v>250000</v>
      </c>
      <c r="L19" s="45" t="s">
        <v>182</v>
      </c>
      <c r="M19" s="44"/>
    </row>
    <row r="20" spans="1:15" x14ac:dyDescent="0.3">
      <c r="A20" s="41"/>
      <c r="B20" s="42"/>
      <c r="C20" s="59"/>
      <c r="D20" s="298" t="s">
        <v>328</v>
      </c>
      <c r="E20" s="299"/>
      <c r="F20" s="300"/>
      <c r="G20" s="301" t="s">
        <v>188</v>
      </c>
      <c r="H20" s="302"/>
      <c r="I20" s="46">
        <v>0</v>
      </c>
      <c r="J20" s="47">
        <v>750000</v>
      </c>
      <c r="K20" s="46">
        <f t="shared" si="2"/>
        <v>750000</v>
      </c>
      <c r="L20" s="45" t="s">
        <v>231</v>
      </c>
      <c r="M20" s="44"/>
    </row>
    <row r="21" spans="1:15" x14ac:dyDescent="0.3">
      <c r="A21" s="56"/>
      <c r="B21" s="56"/>
      <c r="C21" s="56"/>
      <c r="D21" s="56"/>
      <c r="E21" s="56"/>
      <c r="F21" s="56"/>
      <c r="G21" s="57" t="s">
        <v>191</v>
      </c>
      <c r="H21" s="56"/>
      <c r="I21" s="58">
        <f>SUMIF($L18:$L20,"YES",$I18:$I20)</f>
        <v>0</v>
      </c>
      <c r="J21" s="58">
        <f>SUMIF($L18:$L20,"YES",$J18:$J20)</f>
        <v>1250000</v>
      </c>
      <c r="K21" s="58">
        <f>SUMIF($L18:$L20,"YES",$K18:$K20)</f>
        <v>1250000</v>
      </c>
      <c r="L21" s="56"/>
      <c r="M21" s="56"/>
    </row>
    <row r="22" spans="1:15" ht="7.95" customHeight="1" x14ac:dyDescent="0.3">
      <c r="A22" s="79"/>
      <c r="B22" s="79"/>
      <c r="C22" s="79"/>
      <c r="D22" s="79"/>
      <c r="E22" s="79"/>
      <c r="F22" s="79"/>
      <c r="G22" s="79"/>
      <c r="H22" s="79"/>
      <c r="I22" s="79"/>
      <c r="J22" s="79"/>
      <c r="K22" s="79"/>
      <c r="L22" s="79"/>
      <c r="M22" s="79"/>
    </row>
    <row r="23" spans="1:15" ht="15.6" x14ac:dyDescent="0.3">
      <c r="A23" s="294" t="s">
        <v>330</v>
      </c>
      <c r="B23" s="294"/>
      <c r="C23" s="294"/>
      <c r="D23" s="294"/>
      <c r="E23" s="294"/>
      <c r="F23" s="294"/>
      <c r="G23" s="294"/>
      <c r="H23" s="294"/>
      <c r="I23" s="294"/>
      <c r="J23" s="294"/>
      <c r="K23" s="294"/>
      <c r="L23" s="294"/>
      <c r="M23" s="294"/>
      <c r="O23" s="33"/>
    </row>
    <row r="24" spans="1:15" ht="18" x14ac:dyDescent="0.35">
      <c r="A24" s="313" t="s">
        <v>269</v>
      </c>
      <c r="B24" s="314"/>
      <c r="C24" s="314"/>
      <c r="D24" s="314"/>
      <c r="E24" s="314"/>
      <c r="F24" s="314"/>
      <c r="G24" s="314"/>
      <c r="H24" s="314"/>
      <c r="I24" s="314"/>
      <c r="J24" s="314"/>
      <c r="K24" s="314"/>
      <c r="L24" s="314"/>
      <c r="M24" s="315"/>
    </row>
    <row r="25" spans="1:15" ht="27.6" x14ac:dyDescent="0.3">
      <c r="A25" s="34"/>
      <c r="B25" s="35" t="s">
        <v>21</v>
      </c>
      <c r="C25" s="35" t="s">
        <v>177</v>
      </c>
      <c r="D25" s="316" t="s">
        <v>23</v>
      </c>
      <c r="E25" s="316"/>
      <c r="F25" s="316"/>
      <c r="G25" s="316" t="s">
        <v>194</v>
      </c>
      <c r="H25" s="316"/>
      <c r="I25" s="39" t="s">
        <v>183</v>
      </c>
      <c r="J25" s="39" t="s">
        <v>184</v>
      </c>
      <c r="K25" s="39" t="s">
        <v>185</v>
      </c>
      <c r="L25" s="93" t="s">
        <v>178</v>
      </c>
      <c r="M25" s="40" t="s">
        <v>179</v>
      </c>
    </row>
    <row r="26" spans="1:15" x14ac:dyDescent="0.3">
      <c r="A26" s="52"/>
      <c r="B26" s="42"/>
      <c r="C26" s="59"/>
      <c r="D26" s="298" t="s">
        <v>328</v>
      </c>
      <c r="E26" s="299"/>
      <c r="F26" s="300"/>
      <c r="G26" s="301" t="s">
        <v>193</v>
      </c>
      <c r="H26" s="302"/>
      <c r="I26" s="46"/>
      <c r="J26" s="47"/>
      <c r="K26" s="46">
        <v>359697366</v>
      </c>
      <c r="L26" s="45" t="s">
        <v>182</v>
      </c>
      <c r="M26" s="48"/>
    </row>
    <row r="27" spans="1:15" x14ac:dyDescent="0.3">
      <c r="A27" s="41"/>
      <c r="B27" s="42"/>
      <c r="C27" s="59"/>
      <c r="D27" s="298" t="s">
        <v>328</v>
      </c>
      <c r="E27" s="299"/>
      <c r="F27" s="300"/>
      <c r="G27" s="301" t="s">
        <v>195</v>
      </c>
      <c r="H27" s="302"/>
      <c r="I27" s="46">
        <f>I7</f>
        <v>10000</v>
      </c>
      <c r="J27" s="47">
        <f>J7</f>
        <v>75000</v>
      </c>
      <c r="K27" s="46">
        <f t="shared" ref="K27:K31" si="3">I27+J27</f>
        <v>85000</v>
      </c>
      <c r="L27" s="45" t="s">
        <v>182</v>
      </c>
      <c r="M27" s="44"/>
    </row>
    <row r="28" spans="1:15" x14ac:dyDescent="0.3">
      <c r="A28" s="41"/>
      <c r="B28" s="42"/>
      <c r="C28" s="59"/>
      <c r="D28" s="298" t="s">
        <v>328</v>
      </c>
      <c r="E28" s="299"/>
      <c r="F28" s="300"/>
      <c r="G28" s="301" t="s">
        <v>196</v>
      </c>
      <c r="H28" s="302"/>
      <c r="I28" s="46">
        <f>I21</f>
        <v>0</v>
      </c>
      <c r="J28" s="47">
        <f>J21</f>
        <v>1250000</v>
      </c>
      <c r="K28" s="46">
        <f t="shared" si="3"/>
        <v>1250000</v>
      </c>
      <c r="L28" s="45" t="s">
        <v>182</v>
      </c>
      <c r="M28" s="44"/>
    </row>
    <row r="29" spans="1:15" x14ac:dyDescent="0.3">
      <c r="A29" s="41"/>
      <c r="B29" s="42"/>
      <c r="C29" s="59"/>
      <c r="D29" s="298" t="s">
        <v>328</v>
      </c>
      <c r="E29" s="299"/>
      <c r="F29" s="300"/>
      <c r="G29" s="301" t="s">
        <v>232</v>
      </c>
      <c r="H29" s="302"/>
      <c r="I29" s="46">
        <f>I14</f>
        <v>25000</v>
      </c>
      <c r="J29" s="47">
        <f>J14</f>
        <v>300000</v>
      </c>
      <c r="K29" s="46">
        <f t="shared" si="3"/>
        <v>325000</v>
      </c>
      <c r="L29" s="45" t="s">
        <v>182</v>
      </c>
      <c r="M29" s="48"/>
    </row>
    <row r="30" spans="1:15" x14ac:dyDescent="0.3">
      <c r="A30" s="41"/>
      <c r="B30" s="42"/>
      <c r="C30" s="43"/>
      <c r="D30" s="298" t="s">
        <v>331</v>
      </c>
      <c r="E30" s="299"/>
      <c r="F30" s="300"/>
      <c r="G30" s="301" t="s">
        <v>329</v>
      </c>
      <c r="H30" s="302"/>
      <c r="I30" s="46">
        <v>20000000</v>
      </c>
      <c r="J30" s="47">
        <v>25000000</v>
      </c>
      <c r="K30" s="46">
        <f t="shared" si="3"/>
        <v>45000000</v>
      </c>
      <c r="L30" s="45" t="s">
        <v>182</v>
      </c>
      <c r="M30" s="48"/>
    </row>
    <row r="31" spans="1:15" x14ac:dyDescent="0.3">
      <c r="A31" s="52"/>
      <c r="B31" s="42"/>
      <c r="C31" s="43"/>
      <c r="D31" s="298" t="s">
        <v>331</v>
      </c>
      <c r="E31" s="299"/>
      <c r="F31" s="300"/>
      <c r="G31" s="301" t="s">
        <v>332</v>
      </c>
      <c r="H31" s="302"/>
      <c r="I31" s="46">
        <v>-400000</v>
      </c>
      <c r="J31" s="47">
        <v>-55000</v>
      </c>
      <c r="K31" s="46">
        <f t="shared" si="3"/>
        <v>-455000</v>
      </c>
      <c r="L31" s="45" t="s">
        <v>182</v>
      </c>
      <c r="M31" s="48"/>
    </row>
    <row r="32" spans="1:15" x14ac:dyDescent="0.3">
      <c r="A32" s="56"/>
      <c r="B32" s="56"/>
      <c r="C32" s="56"/>
      <c r="D32" s="56"/>
      <c r="E32" s="56"/>
      <c r="F32" s="56"/>
      <c r="G32" s="57" t="s">
        <v>192</v>
      </c>
      <c r="H32" s="56"/>
      <c r="I32" s="58">
        <f>SUMIF($L26:$L31,"YES",$I26:$I31)</f>
        <v>19635000</v>
      </c>
      <c r="J32" s="58">
        <f>SUMIF($L26:$L31,"YES",$J26:$J31)</f>
        <v>26570000</v>
      </c>
      <c r="K32" s="58">
        <f>SUMIF($L26:$L31,"YES",$K26:$K31)</f>
        <v>405902366</v>
      </c>
      <c r="L32" s="56"/>
      <c r="M32" s="56"/>
    </row>
    <row r="33" spans="1:15" ht="9" customHeight="1" x14ac:dyDescent="0.3">
      <c r="A33" s="79"/>
      <c r="B33" s="79"/>
      <c r="C33" s="79"/>
      <c r="D33" s="79"/>
      <c r="E33" s="79"/>
      <c r="F33" s="79"/>
      <c r="G33" s="79"/>
      <c r="H33" s="79"/>
      <c r="I33" s="79"/>
      <c r="J33" s="79"/>
      <c r="K33" s="79"/>
      <c r="L33" s="79"/>
      <c r="M33" s="79"/>
    </row>
    <row r="34" spans="1:15" ht="30.6" customHeight="1" x14ac:dyDescent="0.3">
      <c r="A34" s="295" t="s">
        <v>333</v>
      </c>
      <c r="B34" s="295"/>
      <c r="C34" s="295"/>
      <c r="D34" s="295"/>
      <c r="E34" s="295"/>
      <c r="F34" s="295"/>
      <c r="G34" s="295"/>
      <c r="H34" s="295"/>
      <c r="I34" s="295"/>
      <c r="J34" s="295"/>
      <c r="K34" s="295"/>
      <c r="L34" s="295"/>
      <c r="M34" s="295"/>
      <c r="O34" s="33"/>
    </row>
    <row r="35" spans="1:15" ht="18" x14ac:dyDescent="0.35">
      <c r="A35" s="303" t="s">
        <v>270</v>
      </c>
      <c r="B35" s="304"/>
      <c r="C35" s="304"/>
      <c r="D35" s="304"/>
      <c r="E35" s="304"/>
      <c r="F35" s="304"/>
      <c r="G35" s="304"/>
      <c r="H35" s="304"/>
      <c r="I35" s="304"/>
      <c r="J35" s="304"/>
      <c r="K35" s="304"/>
      <c r="L35" s="304"/>
      <c r="M35" s="305"/>
    </row>
    <row r="36" spans="1:15" ht="36.6" customHeight="1" x14ac:dyDescent="0.3">
      <c r="A36" s="60"/>
      <c r="B36" s="61" t="s">
        <v>21</v>
      </c>
      <c r="C36" s="61" t="s">
        <v>177</v>
      </c>
      <c r="D36" s="306" t="s">
        <v>23</v>
      </c>
      <c r="E36" s="306"/>
      <c r="F36" s="306"/>
      <c r="G36" s="306" t="s">
        <v>194</v>
      </c>
      <c r="H36" s="306"/>
      <c r="I36" s="62" t="s">
        <v>235</v>
      </c>
      <c r="J36" s="62"/>
      <c r="K36" s="62" t="s">
        <v>236</v>
      </c>
      <c r="L36" s="93" t="s">
        <v>178</v>
      </c>
      <c r="M36" s="63" t="s">
        <v>179</v>
      </c>
    </row>
    <row r="37" spans="1:15" ht="25.2" customHeight="1" x14ac:dyDescent="0.3">
      <c r="A37" s="41"/>
      <c r="B37" s="42"/>
      <c r="C37" s="59"/>
      <c r="D37" s="298" t="s">
        <v>328</v>
      </c>
      <c r="E37" s="299"/>
      <c r="F37" s="300"/>
      <c r="G37" s="301" t="s">
        <v>233</v>
      </c>
      <c r="H37" s="302"/>
      <c r="I37" s="64"/>
      <c r="J37" s="46"/>
      <c r="K37" s="46">
        <v>70827804</v>
      </c>
      <c r="L37" s="45" t="s">
        <v>182</v>
      </c>
      <c r="M37" s="44"/>
    </row>
    <row r="38" spans="1:15" x14ac:dyDescent="0.3">
      <c r="A38" s="41"/>
      <c r="B38" s="42"/>
      <c r="C38" s="59"/>
      <c r="D38" s="298" t="s">
        <v>328</v>
      </c>
      <c r="E38" s="299"/>
      <c r="F38" s="300"/>
      <c r="G38" s="301" t="s">
        <v>252</v>
      </c>
      <c r="H38" s="302"/>
      <c r="I38" s="65">
        <v>0.123456</v>
      </c>
      <c r="J38" s="47"/>
      <c r="K38" s="46">
        <f>(ROUNDUP((('Tax Rates'!$H$3/100)*I38)*0.9885,0))+(ROUNDUP((('Tax Rates'!$H$3/100)*I38)*0.0115,0))+110000</f>
        <v>335074849</v>
      </c>
      <c r="L38" s="45" t="s">
        <v>182</v>
      </c>
      <c r="M38" s="72"/>
    </row>
    <row r="39" spans="1:15" x14ac:dyDescent="0.3">
      <c r="A39" s="296" t="s">
        <v>249</v>
      </c>
      <c r="B39" s="296"/>
      <c r="C39" s="296"/>
      <c r="D39" s="296"/>
      <c r="E39" s="296"/>
      <c r="F39" s="296"/>
      <c r="G39" s="296"/>
      <c r="H39" s="296"/>
      <c r="I39" s="296"/>
      <c r="J39" s="296"/>
      <c r="K39" s="66">
        <f>SUMIF($L37:$L38,"YES",$K37:$K38)</f>
        <v>405902653</v>
      </c>
      <c r="L39" s="67"/>
      <c r="M39" s="67"/>
    </row>
    <row r="40" spans="1:15" ht="15" thickBot="1" x14ac:dyDescent="0.35">
      <c r="A40" s="297" t="s">
        <v>192</v>
      </c>
      <c r="B40" s="297"/>
      <c r="C40" s="297"/>
      <c r="D40" s="297"/>
      <c r="E40" s="297"/>
      <c r="F40" s="297"/>
      <c r="G40" s="297"/>
      <c r="H40" s="297"/>
      <c r="I40" s="297"/>
      <c r="J40" s="297"/>
      <c r="K40" s="68">
        <f>K32</f>
        <v>405902366</v>
      </c>
      <c r="L40" s="56"/>
      <c r="M40" s="56"/>
    </row>
    <row r="41" spans="1:15" s="32" customFormat="1" ht="15" thickBot="1" x14ac:dyDescent="0.35">
      <c r="A41" s="307" t="str">
        <f>IF(K41&lt;0,"YOUR BUDGET EXCEEDS THE AVAILABLE REVENUE.",(IF(K41=0,"CONGRATULATIONS! YOU BALANCED YOUR BUDGET.","YOUR REVENUES EXCEED EXPENDITURES.  YOU CAN ADD MORE TO THE BUDGET.")))</f>
        <v>YOUR REVENUES EXCEED EXPENDITURES.  YOU CAN ADD MORE TO THE BUDGET.</v>
      </c>
      <c r="B41" s="308"/>
      <c r="C41" s="308"/>
      <c r="D41" s="308"/>
      <c r="E41" s="308"/>
      <c r="F41" s="308"/>
      <c r="G41" s="308"/>
      <c r="H41" s="308"/>
      <c r="I41" s="308"/>
      <c r="J41" s="308"/>
      <c r="K41" s="69">
        <f>K39-K40</f>
        <v>287</v>
      </c>
      <c r="L41" s="70"/>
      <c r="M41" s="71"/>
    </row>
    <row r="42" spans="1:15" ht="7.95" customHeight="1" x14ac:dyDescent="0.3">
      <c r="A42" s="79"/>
      <c r="B42" s="79"/>
      <c r="C42" s="79"/>
      <c r="D42" s="79"/>
      <c r="E42" s="79"/>
      <c r="F42" s="79"/>
      <c r="G42" s="79"/>
      <c r="H42" s="79"/>
      <c r="I42" s="79"/>
      <c r="J42" s="79"/>
      <c r="K42" s="79"/>
      <c r="L42" s="79"/>
      <c r="M42" s="79"/>
    </row>
    <row r="43" spans="1:15" ht="30" customHeight="1" x14ac:dyDescent="0.3">
      <c r="A43" s="295" t="s">
        <v>334</v>
      </c>
      <c r="B43" s="295"/>
      <c r="C43" s="295"/>
      <c r="D43" s="295"/>
      <c r="E43" s="295"/>
      <c r="F43" s="295"/>
      <c r="G43" s="295"/>
      <c r="H43" s="295"/>
      <c r="I43" s="295"/>
      <c r="J43" s="295"/>
      <c r="K43" s="295"/>
      <c r="L43" s="295"/>
      <c r="M43" s="295"/>
      <c r="O43" s="33"/>
    </row>
    <row r="44" spans="1:15" ht="18" x14ac:dyDescent="0.35">
      <c r="A44" s="309" t="s">
        <v>257</v>
      </c>
      <c r="B44" s="310"/>
      <c r="C44" s="310"/>
      <c r="D44" s="310"/>
      <c r="E44" s="310"/>
      <c r="F44" s="310"/>
      <c r="G44" s="310"/>
      <c r="H44" s="310"/>
      <c r="I44" s="310"/>
      <c r="J44" s="310"/>
      <c r="K44" s="310"/>
      <c r="L44" s="310"/>
      <c r="M44" s="311"/>
    </row>
    <row r="45" spans="1:15" ht="31.8" x14ac:dyDescent="0.3">
      <c r="A45" s="34" t="s">
        <v>181</v>
      </c>
      <c r="B45" s="35" t="s">
        <v>21</v>
      </c>
      <c r="C45" s="35" t="s">
        <v>177</v>
      </c>
      <c r="D45" s="35" t="s">
        <v>22</v>
      </c>
      <c r="E45" s="36" t="s">
        <v>23</v>
      </c>
      <c r="F45" s="37" t="s">
        <v>180</v>
      </c>
      <c r="G45" s="36" t="s">
        <v>24</v>
      </c>
      <c r="H45" s="38" t="s">
        <v>26</v>
      </c>
      <c r="I45" s="39"/>
      <c r="J45" s="39"/>
      <c r="K45" s="39" t="s">
        <v>185</v>
      </c>
      <c r="L45" s="93" t="s">
        <v>178</v>
      </c>
      <c r="M45" s="40" t="s">
        <v>179</v>
      </c>
    </row>
    <row r="46" spans="1:15" ht="34.200000000000003" customHeight="1" x14ac:dyDescent="0.3">
      <c r="A46" s="41"/>
      <c r="B46" s="42" t="s">
        <v>30</v>
      </c>
      <c r="C46" s="73" t="s">
        <v>256</v>
      </c>
      <c r="D46" s="298" t="s">
        <v>253</v>
      </c>
      <c r="E46" s="299"/>
      <c r="F46" s="300"/>
      <c r="G46" s="301" t="s">
        <v>258</v>
      </c>
      <c r="H46" s="312"/>
      <c r="I46" s="312"/>
      <c r="J46" s="302"/>
      <c r="K46" s="46">
        <f>K39-K40</f>
        <v>287</v>
      </c>
      <c r="L46" s="45" t="s">
        <v>182</v>
      </c>
      <c r="M46" s="48"/>
    </row>
    <row r="47" spans="1:15" x14ac:dyDescent="0.3">
      <c r="A47" s="296" t="s">
        <v>249</v>
      </c>
      <c r="B47" s="296"/>
      <c r="C47" s="296"/>
      <c r="D47" s="296"/>
      <c r="E47" s="296"/>
      <c r="F47" s="296"/>
      <c r="G47" s="296"/>
      <c r="H47" s="296"/>
      <c r="I47" s="296"/>
      <c r="J47" s="296"/>
      <c r="K47" s="66">
        <f>K39</f>
        <v>405902653</v>
      </c>
      <c r="L47" s="67"/>
      <c r="M47" s="67"/>
    </row>
    <row r="48" spans="1:15" ht="15" thickBot="1" x14ac:dyDescent="0.35">
      <c r="A48" s="297" t="s">
        <v>255</v>
      </c>
      <c r="B48" s="297"/>
      <c r="C48" s="297"/>
      <c r="D48" s="297"/>
      <c r="E48" s="297"/>
      <c r="F48" s="297"/>
      <c r="G48" s="297"/>
      <c r="H48" s="297"/>
      <c r="I48" s="297"/>
      <c r="J48" s="297"/>
      <c r="K48" s="68">
        <f>K40+K41</f>
        <v>405902653</v>
      </c>
      <c r="L48" s="56"/>
      <c r="M48" s="56"/>
    </row>
    <row r="49" spans="1:13" s="32" customFormat="1" ht="15" thickBot="1" x14ac:dyDescent="0.35">
      <c r="A49" s="307" t="str">
        <f>IF(K49&lt;0,"YOUR BUDGET EXCEEDS THE AVAILABLE REVENUE.",(IF(K49=0,"CONGRATULATIONS! YOU BALANCED YOUR BUDGET.","YOUR REVENUES EXCEED EXPENDITURES.  YOU CAN ADD MORE TO THE BUDGET.")))</f>
        <v>CONGRATULATIONS! YOU BALANCED YOUR BUDGET.</v>
      </c>
      <c r="B49" s="308"/>
      <c r="C49" s="308"/>
      <c r="D49" s="308"/>
      <c r="E49" s="308"/>
      <c r="F49" s="308"/>
      <c r="G49" s="308"/>
      <c r="H49" s="308"/>
      <c r="I49" s="308"/>
      <c r="J49" s="308"/>
      <c r="K49" s="69">
        <f>K47-K48</f>
        <v>0</v>
      </c>
      <c r="L49" s="70"/>
      <c r="M49" s="71"/>
    </row>
    <row r="50" spans="1:13" x14ac:dyDescent="0.3">
      <c r="A50" s="79"/>
      <c r="B50" s="79"/>
      <c r="C50" s="79"/>
      <c r="D50" s="79"/>
      <c r="E50" s="79"/>
      <c r="F50" s="79"/>
      <c r="G50" s="79"/>
      <c r="H50" s="79"/>
      <c r="I50" s="79"/>
      <c r="J50" s="79"/>
      <c r="K50" s="79"/>
      <c r="L50" s="79"/>
      <c r="M50" s="79"/>
    </row>
    <row r="51" spans="1:13" x14ac:dyDescent="0.3">
      <c r="A51" s="79"/>
      <c r="B51" s="79"/>
      <c r="C51" s="79"/>
      <c r="D51" s="79"/>
      <c r="E51" s="79"/>
      <c r="F51" s="79"/>
      <c r="G51" s="79"/>
      <c r="H51" s="79"/>
      <c r="I51" s="79"/>
      <c r="J51" s="79"/>
      <c r="K51" s="79"/>
      <c r="L51" s="79"/>
      <c r="M51" s="79"/>
    </row>
    <row r="52" spans="1:13" x14ac:dyDescent="0.3">
      <c r="A52" s="79"/>
      <c r="B52" s="79"/>
      <c r="C52" s="79"/>
      <c r="D52" s="79"/>
      <c r="E52" s="79"/>
      <c r="F52" s="79"/>
      <c r="G52" s="79"/>
      <c r="H52" s="79"/>
      <c r="I52" s="79"/>
      <c r="J52" s="79"/>
      <c r="K52" s="96"/>
      <c r="L52" s="79"/>
      <c r="M52" s="79"/>
    </row>
    <row r="53" spans="1:13" x14ac:dyDescent="0.3">
      <c r="A53" s="79"/>
      <c r="B53" s="79"/>
      <c r="C53" s="79"/>
      <c r="D53" s="79"/>
      <c r="E53" s="79"/>
      <c r="F53" s="79"/>
      <c r="G53" s="79"/>
      <c r="H53" s="79"/>
      <c r="I53" s="79"/>
      <c r="J53" s="79"/>
      <c r="K53" s="79"/>
      <c r="L53" s="79"/>
      <c r="M53" s="79"/>
    </row>
    <row r="54" spans="1:13" x14ac:dyDescent="0.3">
      <c r="A54" s="79"/>
      <c r="B54" s="79"/>
      <c r="C54" s="79"/>
      <c r="D54" s="79"/>
      <c r="E54" s="79"/>
      <c r="F54" s="79"/>
      <c r="G54" s="79"/>
      <c r="H54" s="79"/>
      <c r="I54" s="79"/>
      <c r="J54" s="79"/>
      <c r="K54" s="79"/>
      <c r="L54" s="79"/>
      <c r="M54" s="79"/>
    </row>
    <row r="55" spans="1:13" x14ac:dyDescent="0.3">
      <c r="A55" s="79"/>
      <c r="B55" s="79"/>
      <c r="C55" s="79"/>
      <c r="D55" s="79"/>
      <c r="E55" s="79"/>
      <c r="F55" s="79"/>
      <c r="G55" s="79"/>
      <c r="H55" s="79"/>
      <c r="I55" s="79"/>
      <c r="J55" s="79"/>
      <c r="K55" s="79"/>
      <c r="L55" s="79"/>
      <c r="M55" s="79"/>
    </row>
    <row r="56" spans="1:13" x14ac:dyDescent="0.3">
      <c r="A56" s="79"/>
      <c r="B56" s="79"/>
      <c r="C56" s="79"/>
      <c r="D56" s="79"/>
      <c r="E56" s="79"/>
      <c r="F56" s="79"/>
      <c r="G56" s="79"/>
      <c r="H56" s="79"/>
      <c r="I56" s="79"/>
      <c r="J56" s="79"/>
      <c r="K56" s="79"/>
      <c r="L56" s="79"/>
      <c r="M56" s="79"/>
    </row>
    <row r="57" spans="1:13" x14ac:dyDescent="0.3">
      <c r="A57" s="79"/>
      <c r="B57" s="79"/>
      <c r="C57" s="79"/>
      <c r="D57" s="79"/>
      <c r="E57" s="79"/>
      <c r="F57" s="79"/>
      <c r="G57" s="79"/>
      <c r="H57" s="79"/>
      <c r="I57" s="79"/>
      <c r="J57" s="79"/>
      <c r="K57" s="79"/>
      <c r="L57" s="79"/>
      <c r="M57" s="79"/>
    </row>
    <row r="58" spans="1:13" x14ac:dyDescent="0.3">
      <c r="A58" s="79"/>
      <c r="B58" s="79"/>
      <c r="C58" s="79"/>
      <c r="D58" s="79"/>
      <c r="E58" s="79"/>
      <c r="F58" s="79"/>
      <c r="G58" s="79"/>
      <c r="H58" s="79"/>
      <c r="I58" s="79"/>
      <c r="J58" s="79"/>
      <c r="K58" s="79"/>
      <c r="L58" s="79"/>
      <c r="M58" s="79"/>
    </row>
    <row r="59" spans="1:13" x14ac:dyDescent="0.3">
      <c r="A59" s="79"/>
      <c r="B59" s="79"/>
      <c r="C59" s="79"/>
      <c r="D59" s="79"/>
      <c r="E59" s="79"/>
      <c r="F59" s="79"/>
      <c r="G59" s="79"/>
      <c r="H59" s="79"/>
      <c r="I59" s="79"/>
      <c r="J59" s="79"/>
      <c r="K59" s="79"/>
      <c r="L59" s="79"/>
      <c r="M59" s="79"/>
    </row>
    <row r="60" spans="1:13" x14ac:dyDescent="0.3">
      <c r="A60" s="79"/>
      <c r="B60" s="79"/>
      <c r="C60" s="79"/>
      <c r="D60" s="79"/>
      <c r="E60" s="79"/>
      <c r="F60" s="79"/>
      <c r="G60" s="79"/>
      <c r="H60" s="79"/>
      <c r="I60" s="79"/>
      <c r="J60" s="79"/>
      <c r="K60" s="79"/>
      <c r="L60" s="79"/>
      <c r="M60" s="79"/>
    </row>
    <row r="61" spans="1:13" x14ac:dyDescent="0.3">
      <c r="A61" s="79"/>
      <c r="B61" s="79"/>
      <c r="C61" s="79"/>
      <c r="D61" s="79"/>
      <c r="E61" s="79"/>
      <c r="F61" s="79"/>
      <c r="G61" s="79"/>
      <c r="H61" s="79"/>
      <c r="I61" s="79"/>
      <c r="J61" s="79"/>
      <c r="K61" s="79"/>
      <c r="L61" s="79"/>
      <c r="M61" s="79"/>
    </row>
    <row r="62" spans="1:13" x14ac:dyDescent="0.3">
      <c r="A62" s="79"/>
      <c r="B62" s="79"/>
      <c r="C62" s="79"/>
      <c r="D62" s="79"/>
      <c r="E62" s="79"/>
      <c r="F62" s="79"/>
      <c r="G62" s="79"/>
      <c r="H62" s="79"/>
      <c r="I62" s="79"/>
      <c r="J62" s="79"/>
      <c r="K62" s="79"/>
      <c r="L62" s="79"/>
      <c r="M62" s="79"/>
    </row>
    <row r="63" spans="1:13" x14ac:dyDescent="0.3">
      <c r="A63" s="79"/>
      <c r="B63" s="79"/>
      <c r="C63" s="79"/>
      <c r="D63" s="79"/>
      <c r="E63" s="79"/>
      <c r="F63" s="79"/>
      <c r="G63" s="79"/>
      <c r="H63" s="79"/>
      <c r="I63" s="79"/>
      <c r="J63" s="79"/>
      <c r="K63" s="79"/>
      <c r="L63" s="79"/>
      <c r="M63" s="79"/>
    </row>
    <row r="64" spans="1:13" x14ac:dyDescent="0.3">
      <c r="A64" s="79"/>
      <c r="B64" s="79"/>
      <c r="C64" s="79"/>
      <c r="D64" s="79"/>
      <c r="E64" s="79"/>
      <c r="F64" s="79"/>
      <c r="G64" s="79"/>
      <c r="H64" s="79"/>
      <c r="I64" s="79"/>
      <c r="J64" s="79"/>
      <c r="K64" s="79"/>
      <c r="L64" s="79"/>
      <c r="M64" s="79"/>
    </row>
    <row r="65" spans="1:13" x14ac:dyDescent="0.3">
      <c r="A65" s="79"/>
      <c r="B65" s="79"/>
      <c r="C65" s="79"/>
      <c r="D65" s="79"/>
      <c r="E65" s="79"/>
      <c r="F65" s="79"/>
      <c r="G65" s="79"/>
      <c r="H65" s="79"/>
      <c r="I65" s="79"/>
      <c r="J65" s="79"/>
      <c r="K65" s="79"/>
      <c r="L65" s="79"/>
      <c r="M65" s="79"/>
    </row>
    <row r="66" spans="1:13" x14ac:dyDescent="0.3">
      <c r="A66" s="79"/>
      <c r="B66" s="79"/>
      <c r="C66" s="79"/>
      <c r="D66" s="79"/>
      <c r="E66" s="79"/>
      <c r="F66" s="79"/>
      <c r="G66" s="79"/>
      <c r="H66" s="79"/>
      <c r="I66" s="79"/>
      <c r="J66" s="79"/>
      <c r="K66" s="79"/>
      <c r="L66" s="79"/>
      <c r="M66" s="79"/>
    </row>
    <row r="67" spans="1:13" x14ac:dyDescent="0.3">
      <c r="A67" s="79"/>
      <c r="B67" s="79"/>
      <c r="C67" s="79"/>
      <c r="D67" s="79"/>
      <c r="E67" s="79"/>
      <c r="F67" s="79"/>
      <c r="G67" s="79"/>
      <c r="H67" s="79"/>
      <c r="I67" s="79"/>
      <c r="J67" s="79"/>
      <c r="K67" s="79"/>
      <c r="L67" s="79"/>
      <c r="M67" s="79"/>
    </row>
    <row r="68" spans="1:13" x14ac:dyDescent="0.3">
      <c r="A68" s="79"/>
      <c r="B68" s="79"/>
      <c r="C68" s="79"/>
      <c r="D68" s="79"/>
      <c r="E68" s="79"/>
      <c r="F68" s="79"/>
      <c r="G68" s="79"/>
      <c r="H68" s="79"/>
      <c r="I68" s="79"/>
      <c r="J68" s="79"/>
      <c r="K68" s="79"/>
      <c r="L68" s="79"/>
      <c r="M68" s="79"/>
    </row>
  </sheetData>
  <sheetProtection algorithmName="SHA-512" hashValue="SPfaVk674pDFSZBiC/cMIYZkCnIy8jcWVR1F3jFXe6DmjYXsXLnFJI22k8hPEjoeuSeRsSH7PGDo9QXTN+D3gQ==" saltValue="sh1JRdLB+4LJ2bP2NcH/RQ==" spinCount="100000" sheet="1" objects="1" scenarios="1"/>
  <mergeCells count="45">
    <mergeCell ref="D19:F19"/>
    <mergeCell ref="G19:H19"/>
    <mergeCell ref="D20:F20"/>
    <mergeCell ref="G20:H20"/>
    <mergeCell ref="A1:M1"/>
    <mergeCell ref="A3:M3"/>
    <mergeCell ref="A9:M9"/>
    <mergeCell ref="A16:M16"/>
    <mergeCell ref="G17:H17"/>
    <mergeCell ref="D18:F18"/>
    <mergeCell ref="G18:H18"/>
    <mergeCell ref="A24:M24"/>
    <mergeCell ref="D25:F25"/>
    <mergeCell ref="G25:H25"/>
    <mergeCell ref="D26:F26"/>
    <mergeCell ref="G26:H26"/>
    <mergeCell ref="D31:F31"/>
    <mergeCell ref="G31:H31"/>
    <mergeCell ref="D27:F27"/>
    <mergeCell ref="G27:H27"/>
    <mergeCell ref="D28:F28"/>
    <mergeCell ref="G28:H28"/>
    <mergeCell ref="D29:F29"/>
    <mergeCell ref="G29:H29"/>
    <mergeCell ref="A49:J49"/>
    <mergeCell ref="A41:J41"/>
    <mergeCell ref="A44:M44"/>
    <mergeCell ref="D46:F46"/>
    <mergeCell ref="G46:J46"/>
    <mergeCell ref="A23:M23"/>
    <mergeCell ref="A34:M34"/>
    <mergeCell ref="A43:M43"/>
    <mergeCell ref="A47:J47"/>
    <mergeCell ref="A48:J48"/>
    <mergeCell ref="D37:F37"/>
    <mergeCell ref="G37:H37"/>
    <mergeCell ref="D38:F38"/>
    <mergeCell ref="G38:H38"/>
    <mergeCell ref="A39:J39"/>
    <mergeCell ref="A40:J40"/>
    <mergeCell ref="A35:M35"/>
    <mergeCell ref="D36:F36"/>
    <mergeCell ref="G36:H36"/>
    <mergeCell ref="D30:F30"/>
    <mergeCell ref="G30:H30"/>
  </mergeCells>
  <dataValidations disablePrompts="1" count="1">
    <dataValidation type="list" allowBlank="1" showInputMessage="1" showErrorMessage="1" promptTitle="Add to Recommended Budget?" prompt="Enter &quot;Yes&quot; to add to Recommended Budget. " sqref="L5:L6 L11:L13 L18:L20 L37:L38 L46 L26:L31" xr:uid="{6022AC11-3B6E-46D6-9D5E-B3A564CCCE7C}">
      <formula1>$O$1:$O$2</formula1>
    </dataValidation>
  </dataValidations>
  <printOptions horizontalCentered="1"/>
  <pageMargins left="0.25" right="0.25" top="0.75" bottom="0.75" header="0.3" footer="0.3"/>
  <pageSetup scale="55" fitToHeight="0" orientation="landscape" r:id="rId1"/>
  <headerFooter>
    <oddHeader>&amp;C&amp;14COLLIN COUNTY - BUILD-YOUR-OWN-BUDGET INSTRUCTIONS</oddHeader>
    <oddFooter>&amp;CPage &amp;P of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735C3-FCBB-4F22-9E78-FC1C98620519}">
  <sheetPr>
    <tabColor theme="6" tint="0.39997558519241921"/>
    <pageSetUpPr fitToPage="1"/>
  </sheetPr>
  <dimension ref="A1:W64"/>
  <sheetViews>
    <sheetView zoomScaleNormal="100" workbookViewId="0">
      <pane xSplit="1" ySplit="6" topLeftCell="B7" activePane="bottomRight" state="frozen"/>
      <selection sqref="A1:Q1"/>
      <selection pane="topRight" sqref="A1:Q1"/>
      <selection pane="bottomLeft" sqref="A1:Q1"/>
      <selection pane="bottomRight" activeCell="M12" sqref="M12"/>
    </sheetView>
  </sheetViews>
  <sheetFormatPr defaultColWidth="9.109375" defaultRowHeight="14.4" x14ac:dyDescent="0.3"/>
  <cols>
    <col min="1" max="1" width="32" style="206" customWidth="1"/>
    <col min="2" max="5" width="16.5546875" style="206" bestFit="1" customWidth="1"/>
    <col min="6" max="6" width="16.88671875" style="206" customWidth="1"/>
    <col min="7" max="11" width="16.5546875" style="206" bestFit="1" customWidth="1"/>
    <col min="12" max="12" width="5.44140625" style="206" customWidth="1"/>
    <col min="13" max="13" width="16.109375" style="206" customWidth="1"/>
    <col min="14" max="14" width="4.6640625" style="206" customWidth="1"/>
    <col min="15" max="16384" width="9.109375" style="206"/>
  </cols>
  <sheetData>
    <row r="1" spans="1:23" ht="22.8" x14ac:dyDescent="0.4">
      <c r="A1" s="334" t="s">
        <v>338</v>
      </c>
      <c r="B1" s="334"/>
      <c r="C1" s="334"/>
      <c r="D1" s="334"/>
      <c r="E1" s="334"/>
      <c r="F1" s="334"/>
      <c r="G1" s="334"/>
      <c r="H1" s="334"/>
      <c r="I1" s="334"/>
      <c r="J1" s="334"/>
      <c r="K1" s="334"/>
      <c r="L1" s="203"/>
      <c r="M1" s="204"/>
      <c r="N1" s="205"/>
      <c r="O1" s="204"/>
      <c r="P1" s="204"/>
      <c r="Q1" s="204"/>
      <c r="R1" s="204"/>
      <c r="S1" s="204"/>
      <c r="T1" s="204"/>
      <c r="U1" s="204"/>
      <c r="V1" s="204"/>
      <c r="W1" s="204"/>
    </row>
    <row r="2" spans="1:23" ht="17.399999999999999" x14ac:dyDescent="0.3">
      <c r="A2" s="335" t="s">
        <v>498</v>
      </c>
      <c r="B2" s="335"/>
      <c r="C2" s="335"/>
      <c r="D2" s="335"/>
      <c r="E2" s="335"/>
      <c r="F2" s="335"/>
      <c r="G2" s="335"/>
      <c r="H2" s="335"/>
      <c r="I2" s="335"/>
      <c r="J2" s="335"/>
      <c r="K2" s="335"/>
      <c r="M2" s="204"/>
      <c r="N2" s="205"/>
      <c r="O2" s="204"/>
      <c r="P2" s="204"/>
      <c r="Q2" s="204"/>
      <c r="R2" s="204"/>
      <c r="S2" s="204"/>
      <c r="T2" s="204"/>
      <c r="U2" s="204"/>
      <c r="V2" s="204"/>
      <c r="W2" s="204"/>
    </row>
    <row r="3" spans="1:23" ht="17.399999999999999" x14ac:dyDescent="0.3">
      <c r="A3" s="335" t="s">
        <v>340</v>
      </c>
      <c r="B3" s="335"/>
      <c r="C3" s="335"/>
      <c r="D3" s="335"/>
      <c r="E3" s="335"/>
      <c r="F3" s="335"/>
      <c r="G3" s="335"/>
      <c r="H3" s="335"/>
      <c r="I3" s="335"/>
      <c r="J3" s="335"/>
      <c r="K3" s="335"/>
      <c r="M3" s="207"/>
      <c r="N3" s="207"/>
      <c r="O3" s="207"/>
      <c r="P3" s="207"/>
      <c r="Q3" s="207"/>
      <c r="R3" s="207"/>
      <c r="S3" s="204"/>
      <c r="T3" s="204"/>
      <c r="U3" s="204"/>
      <c r="V3" s="204"/>
      <c r="W3" s="204"/>
    </row>
    <row r="4" spans="1:23" ht="36" customHeight="1" x14ac:dyDescent="0.3">
      <c r="A4" s="336" t="s">
        <v>499</v>
      </c>
      <c r="B4" s="336"/>
      <c r="C4" s="336"/>
      <c r="D4" s="336"/>
      <c r="E4" s="336"/>
      <c r="F4" s="336"/>
      <c r="G4" s="336"/>
      <c r="H4" s="336"/>
      <c r="I4" s="336"/>
      <c r="J4" s="336"/>
      <c r="K4" s="336"/>
      <c r="M4" s="204"/>
      <c r="N4" s="204"/>
      <c r="O4" s="204"/>
      <c r="P4" s="204"/>
      <c r="Q4" s="204"/>
      <c r="R4" s="204"/>
      <c r="S4" s="204"/>
      <c r="T4" s="204"/>
      <c r="U4" s="204"/>
      <c r="V4" s="204"/>
      <c r="W4" s="204"/>
    </row>
    <row r="5" spans="1:23" ht="15.75" customHeight="1" x14ac:dyDescent="0.3">
      <c r="B5" s="208" t="s">
        <v>342</v>
      </c>
      <c r="C5" s="208" t="s">
        <v>343</v>
      </c>
      <c r="D5" s="208" t="s">
        <v>344</v>
      </c>
      <c r="E5" s="208" t="s">
        <v>345</v>
      </c>
      <c r="F5" s="208" t="s">
        <v>346</v>
      </c>
      <c r="G5" s="208" t="s">
        <v>347</v>
      </c>
      <c r="H5" s="208" t="s">
        <v>348</v>
      </c>
      <c r="I5" s="208" t="s">
        <v>349</v>
      </c>
      <c r="J5" s="208" t="s">
        <v>350</v>
      </c>
      <c r="K5" s="208" t="s">
        <v>351</v>
      </c>
      <c r="M5" s="251"/>
    </row>
    <row r="6" spans="1:23" s="209" customFormat="1" ht="28.95" customHeight="1" x14ac:dyDescent="0.3">
      <c r="B6" s="210" t="s">
        <v>352</v>
      </c>
      <c r="C6" s="210" t="s">
        <v>352</v>
      </c>
      <c r="D6" s="210" t="s">
        <v>352</v>
      </c>
      <c r="E6" s="210" t="s">
        <v>353</v>
      </c>
      <c r="F6" s="210" t="s">
        <v>488</v>
      </c>
      <c r="G6" s="210" t="s">
        <v>354</v>
      </c>
      <c r="H6" s="210" t="s">
        <v>354</v>
      </c>
      <c r="I6" s="210" t="s">
        <v>354</v>
      </c>
      <c r="J6" s="210" t="s">
        <v>354</v>
      </c>
      <c r="K6" s="210" t="s">
        <v>354</v>
      </c>
    </row>
    <row r="7" spans="1:23" s="212" customFormat="1" x14ac:dyDescent="0.3">
      <c r="B7" s="213"/>
      <c r="C7" s="213"/>
      <c r="D7" s="213"/>
      <c r="E7" s="213"/>
      <c r="F7" s="213"/>
      <c r="G7" s="213"/>
      <c r="H7" s="213"/>
      <c r="I7" s="213"/>
      <c r="J7" s="213"/>
      <c r="K7" s="213"/>
    </row>
    <row r="8" spans="1:23" ht="24.9" customHeight="1" x14ac:dyDescent="0.3">
      <c r="A8" s="214" t="s">
        <v>355</v>
      </c>
      <c r="B8" s="289">
        <f>72215300</f>
        <v>72215300</v>
      </c>
      <c r="C8" s="215">
        <f>B49</f>
        <v>76349229.169999987</v>
      </c>
      <c r="D8" s="215">
        <f>C49</f>
        <v>84744234.709999979</v>
      </c>
      <c r="E8" s="215">
        <f>D49</f>
        <v>84197457.719999999</v>
      </c>
      <c r="F8" s="215">
        <f>E49</f>
        <v>61432194.589999989</v>
      </c>
      <c r="G8" s="215">
        <f>F49</f>
        <v>57830138.589999989</v>
      </c>
      <c r="H8" s="215">
        <f t="shared" ref="H8:K8" si="0">G49</f>
        <v>53123866.029999986</v>
      </c>
      <c r="I8" s="215">
        <f t="shared" si="0"/>
        <v>47299103.885199986</v>
      </c>
      <c r="J8" s="215">
        <f t="shared" si="0"/>
        <v>40324828.693815984</v>
      </c>
      <c r="K8" s="215">
        <f t="shared" si="0"/>
        <v>32153921.31287127</v>
      </c>
      <c r="M8" s="216"/>
      <c r="O8" s="331" t="s">
        <v>356</v>
      </c>
      <c r="P8" s="332"/>
      <c r="Q8" s="333"/>
    </row>
    <row r="9" spans="1:23" x14ac:dyDescent="0.3">
      <c r="B9" s="217"/>
      <c r="C9" s="218"/>
      <c r="D9" s="218"/>
      <c r="E9" s="218"/>
      <c r="F9" s="218"/>
      <c r="G9" s="218"/>
      <c r="H9" s="218"/>
      <c r="I9" s="218"/>
      <c r="J9" s="218"/>
      <c r="K9" s="218"/>
      <c r="L9" s="219"/>
      <c r="M9" s="216"/>
      <c r="O9" s="222" t="str">
        <f>B5</f>
        <v>FY 2023</v>
      </c>
      <c r="P9" s="223" t="str">
        <f>C5</f>
        <v>FY 2024</v>
      </c>
      <c r="Q9" s="224" t="str">
        <f>D5</f>
        <v>FY 2025</v>
      </c>
    </row>
    <row r="10" spans="1:23" x14ac:dyDescent="0.3">
      <c r="A10" s="214" t="s">
        <v>357</v>
      </c>
      <c r="B10" s="220"/>
      <c r="C10" s="220"/>
      <c r="D10" s="220"/>
      <c r="E10" s="220"/>
      <c r="F10" s="220"/>
      <c r="G10" s="220"/>
      <c r="H10" s="220"/>
      <c r="I10" s="220"/>
      <c r="J10" s="220"/>
      <c r="K10" s="220"/>
      <c r="M10" s="221" t="s">
        <v>358</v>
      </c>
      <c r="O10" s="222" t="str">
        <f>C5</f>
        <v>FY 2024</v>
      </c>
      <c r="P10" s="223" t="str">
        <f>D5</f>
        <v>FY 2025</v>
      </c>
      <c r="Q10" s="224" t="str">
        <f>E5</f>
        <v>FY 2026</v>
      </c>
    </row>
    <row r="11" spans="1:23" ht="15.75" customHeight="1" x14ac:dyDescent="0.3">
      <c r="A11" s="225" t="s">
        <v>359</v>
      </c>
      <c r="B11" s="220">
        <v>0</v>
      </c>
      <c r="C11" s="220">
        <v>0</v>
      </c>
      <c r="D11" s="220">
        <v>0</v>
      </c>
      <c r="E11" s="215">
        <v>0</v>
      </c>
      <c r="F11" s="215">
        <v>0</v>
      </c>
      <c r="G11" s="215">
        <v>0</v>
      </c>
      <c r="H11" s="215">
        <v>0</v>
      </c>
      <c r="I11" s="215">
        <v>0</v>
      </c>
      <c r="J11" s="215">
        <v>0</v>
      </c>
      <c r="K11" s="215">
        <v>0</v>
      </c>
      <c r="M11" s="226"/>
      <c r="N11" s="227"/>
      <c r="O11" s="231" t="e">
        <f t="shared" ref="O11:Q12" si="1">C11/B11-1</f>
        <v>#DIV/0!</v>
      </c>
      <c r="P11" s="232" t="e">
        <f t="shared" si="1"/>
        <v>#DIV/0!</v>
      </c>
      <c r="Q11" s="233" t="e">
        <f t="shared" si="1"/>
        <v>#DIV/0!</v>
      </c>
    </row>
    <row r="12" spans="1:23" ht="15.75" customHeight="1" x14ac:dyDescent="0.3">
      <c r="A12" s="225" t="s">
        <v>360</v>
      </c>
      <c r="B12" s="228">
        <v>26466569.359999999</v>
      </c>
      <c r="C12" s="228">
        <v>29750196.350000001</v>
      </c>
      <c r="D12" s="228">
        <v>30585200.080000002</v>
      </c>
      <c r="E12" s="229">
        <f>9121582.66+1660273.41</f>
        <v>10781856.07</v>
      </c>
      <c r="F12" s="229">
        <v>10412000</v>
      </c>
      <c r="G12" s="228">
        <f>F12+(F12*$M12)</f>
        <v>10516120</v>
      </c>
      <c r="H12" s="228">
        <f t="shared" ref="H12:K12" si="2">G12+(G12*$M12)</f>
        <v>10621281.199999999</v>
      </c>
      <c r="I12" s="228">
        <f t="shared" si="2"/>
        <v>10727494.012</v>
      </c>
      <c r="J12" s="228">
        <f t="shared" si="2"/>
        <v>10834768.95212</v>
      </c>
      <c r="K12" s="228">
        <f t="shared" si="2"/>
        <v>10943116.6416412</v>
      </c>
      <c r="L12" s="230"/>
      <c r="M12" s="285">
        <v>0.01</v>
      </c>
      <c r="N12" s="230"/>
      <c r="O12" s="231">
        <f t="shared" si="1"/>
        <v>0.12406696709860254</v>
      </c>
      <c r="P12" s="232">
        <f t="shared" si="1"/>
        <v>2.8067167025605189E-2</v>
      </c>
      <c r="Q12" s="233">
        <f t="shared" si="1"/>
        <v>-0.64748126408202333</v>
      </c>
      <c r="R12" s="232"/>
    </row>
    <row r="13" spans="1:23" ht="16.2" customHeight="1" x14ac:dyDescent="0.3">
      <c r="A13" s="225" t="s">
        <v>361</v>
      </c>
      <c r="B13" s="228">
        <v>736638.6399999999</v>
      </c>
      <c r="C13" s="228">
        <v>650081.69999999995</v>
      </c>
      <c r="D13" s="228">
        <v>547145.34000000008</v>
      </c>
      <c r="E13" s="229">
        <f>380589.91+74924.74</f>
        <v>455514.64999999997</v>
      </c>
      <c r="F13" s="229">
        <v>600000</v>
      </c>
      <c r="G13" s="228">
        <f t="shared" ref="G13:K13" si="3">F13+(F13*$M13)</f>
        <v>540000</v>
      </c>
      <c r="H13" s="228">
        <f t="shared" si="3"/>
        <v>486000</v>
      </c>
      <c r="I13" s="228">
        <f t="shared" si="3"/>
        <v>437400</v>
      </c>
      <c r="J13" s="228">
        <f t="shared" si="3"/>
        <v>393660</v>
      </c>
      <c r="K13" s="228">
        <f t="shared" si="3"/>
        <v>354294</v>
      </c>
      <c r="L13" s="230"/>
      <c r="M13" s="285">
        <v>-0.1</v>
      </c>
      <c r="N13" s="230"/>
      <c r="O13" s="231">
        <f>C13/B13-1</f>
        <v>-0.11750257901214622</v>
      </c>
      <c r="P13" s="232">
        <f t="shared" ref="P13:Q17" si="4">D13/C13-1</f>
        <v>-0.15834372818062692</v>
      </c>
      <c r="Q13" s="233">
        <f t="shared" si="4"/>
        <v>-0.16747047502954171</v>
      </c>
      <c r="R13" s="232"/>
    </row>
    <row r="14" spans="1:23" ht="16.2" customHeight="1" x14ac:dyDescent="0.3">
      <c r="A14" s="225" t="s">
        <v>363</v>
      </c>
      <c r="B14" s="228">
        <v>0</v>
      </c>
      <c r="C14" s="228">
        <v>4011.44</v>
      </c>
      <c r="D14" s="228">
        <v>49149.83</v>
      </c>
      <c r="E14" s="229">
        <v>90435.78</v>
      </c>
      <c r="F14" s="229">
        <v>231000</v>
      </c>
      <c r="G14" s="228">
        <f t="shared" ref="G14:K14" si="5">F14+(F14*$M14)</f>
        <v>231000</v>
      </c>
      <c r="H14" s="228">
        <f t="shared" si="5"/>
        <v>231000</v>
      </c>
      <c r="I14" s="228">
        <f t="shared" si="5"/>
        <v>231000</v>
      </c>
      <c r="J14" s="228">
        <f t="shared" si="5"/>
        <v>231000</v>
      </c>
      <c r="K14" s="228">
        <f t="shared" si="5"/>
        <v>231000</v>
      </c>
      <c r="L14" s="230"/>
      <c r="M14" s="285">
        <v>0</v>
      </c>
      <c r="N14" s="230"/>
      <c r="O14" s="231" t="e">
        <f>C14/B14-1</f>
        <v>#DIV/0!</v>
      </c>
      <c r="P14" s="232">
        <f t="shared" si="4"/>
        <v>11.252415591408571</v>
      </c>
      <c r="Q14" s="233">
        <f t="shared" si="4"/>
        <v>0.84000188810419063</v>
      </c>
      <c r="R14" s="232"/>
    </row>
    <row r="15" spans="1:23" ht="16.2" customHeight="1" x14ac:dyDescent="0.3">
      <c r="A15" s="225" t="s">
        <v>364</v>
      </c>
      <c r="B15" s="228">
        <v>2390133.5</v>
      </c>
      <c r="C15" s="228">
        <v>3386918.54</v>
      </c>
      <c r="D15" s="228">
        <v>3407413.7</v>
      </c>
      <c r="E15" s="229">
        <f>2048784.86+27996.3</f>
        <v>2076781.1600000001</v>
      </c>
      <c r="F15" s="229">
        <v>2600400</v>
      </c>
      <c r="G15" s="228">
        <f t="shared" ref="G15:K15" si="6">F15+(F15*$M15)</f>
        <v>2210340</v>
      </c>
      <c r="H15" s="228">
        <f t="shared" si="6"/>
        <v>1878789</v>
      </c>
      <c r="I15" s="228">
        <f t="shared" si="6"/>
        <v>1596970.65</v>
      </c>
      <c r="J15" s="228">
        <f t="shared" si="6"/>
        <v>1357425.0525</v>
      </c>
      <c r="K15" s="228">
        <f t="shared" si="6"/>
        <v>1153811.2946250001</v>
      </c>
      <c r="L15" s="230"/>
      <c r="M15" s="285">
        <v>-0.15</v>
      </c>
      <c r="N15" s="230"/>
      <c r="O15" s="231">
        <f>C15/B15-1</f>
        <v>0.41704157529276076</v>
      </c>
      <c r="P15" s="232">
        <f t="shared" si="4"/>
        <v>6.0512704270709872E-3</v>
      </c>
      <c r="Q15" s="233">
        <f t="shared" si="4"/>
        <v>-0.39051100252370297</v>
      </c>
      <c r="R15" s="232"/>
    </row>
    <row r="16" spans="1:23" ht="16.2" customHeight="1" x14ac:dyDescent="0.3">
      <c r="A16" s="225" t="s">
        <v>365</v>
      </c>
      <c r="B16" s="228">
        <v>9703.4599999999991</v>
      </c>
      <c r="C16" s="228">
        <v>90108</v>
      </c>
      <c r="D16" s="228">
        <v>102955</v>
      </c>
      <c r="E16" s="229">
        <v>54000</v>
      </c>
      <c r="F16" s="229">
        <v>93000</v>
      </c>
      <c r="G16" s="228">
        <f t="shared" ref="G16:K16" si="7">F16+(F16*$M16)</f>
        <v>93000</v>
      </c>
      <c r="H16" s="228">
        <f t="shared" si="7"/>
        <v>93000</v>
      </c>
      <c r="I16" s="228">
        <f t="shared" si="7"/>
        <v>93000</v>
      </c>
      <c r="J16" s="228">
        <f t="shared" si="7"/>
        <v>93000</v>
      </c>
      <c r="K16" s="228">
        <f t="shared" si="7"/>
        <v>93000</v>
      </c>
      <c r="L16" s="230"/>
      <c r="M16" s="285">
        <v>0</v>
      </c>
      <c r="N16" s="230"/>
      <c r="O16" s="231">
        <f>C16/B16-1</f>
        <v>8.2861721489035887</v>
      </c>
      <c r="P16" s="232">
        <f t="shared" si="4"/>
        <v>0.1425733564167444</v>
      </c>
      <c r="Q16" s="233">
        <f t="shared" si="4"/>
        <v>-0.47549900441940651</v>
      </c>
      <c r="R16" s="232"/>
    </row>
    <row r="17" spans="1:18" ht="16.2" customHeight="1" x14ac:dyDescent="0.3">
      <c r="A17" s="225" t="s">
        <v>366</v>
      </c>
      <c r="B17" s="229">
        <v>193852.27000000002</v>
      </c>
      <c r="C17" s="228">
        <v>87493.069999999992</v>
      </c>
      <c r="D17" s="228">
        <v>853641.92</v>
      </c>
      <c r="E17" s="229">
        <f>429271.76+9974.52</f>
        <v>439246.28</v>
      </c>
      <c r="F17" s="229">
        <v>10500</v>
      </c>
      <c r="G17" s="228">
        <f t="shared" ref="G17:K17" si="8">F17+(F17*$M17)</f>
        <v>10500</v>
      </c>
      <c r="H17" s="228">
        <f t="shared" si="8"/>
        <v>10500</v>
      </c>
      <c r="I17" s="228">
        <f t="shared" si="8"/>
        <v>10500</v>
      </c>
      <c r="J17" s="228">
        <f t="shared" si="8"/>
        <v>10500</v>
      </c>
      <c r="K17" s="228">
        <f t="shared" si="8"/>
        <v>10500</v>
      </c>
      <c r="L17" s="230"/>
      <c r="M17" s="286">
        <v>0</v>
      </c>
      <c r="N17" s="230"/>
      <c r="O17" s="234">
        <f>C17/B17-1</f>
        <v>-0.54866110156976755</v>
      </c>
      <c r="P17" s="235">
        <f t="shared" si="4"/>
        <v>8.7566803862294478</v>
      </c>
      <c r="Q17" s="236">
        <f t="shared" si="4"/>
        <v>-0.48544434181489116</v>
      </c>
    </row>
    <row r="18" spans="1:18" ht="4.95" customHeight="1" x14ac:dyDescent="0.3">
      <c r="A18" s="237"/>
      <c r="B18" s="228" t="s">
        <v>367</v>
      </c>
      <c r="C18" s="228" t="s">
        <v>367</v>
      </c>
      <c r="D18" s="228" t="s">
        <v>367</v>
      </c>
      <c r="E18" s="228" t="s">
        <v>367</v>
      </c>
      <c r="F18" s="228" t="s">
        <v>367</v>
      </c>
      <c r="G18" s="228" t="s">
        <v>367</v>
      </c>
      <c r="H18" s="228" t="s">
        <v>367</v>
      </c>
      <c r="I18" s="228" t="s">
        <v>367</v>
      </c>
      <c r="J18" s="228" t="s">
        <v>367</v>
      </c>
      <c r="K18" s="228" t="s">
        <v>367</v>
      </c>
      <c r="M18" s="272"/>
    </row>
    <row r="19" spans="1:18" ht="15.75" customHeight="1" x14ac:dyDescent="0.45">
      <c r="A19" s="225"/>
      <c r="B19" s="239"/>
      <c r="C19" s="239"/>
      <c r="D19" s="239"/>
      <c r="E19" s="239"/>
      <c r="F19" s="240"/>
      <c r="G19" s="240"/>
      <c r="H19" s="240"/>
      <c r="I19" s="240"/>
      <c r="J19" s="240"/>
      <c r="K19" s="240"/>
      <c r="M19" s="272"/>
      <c r="O19" s="337"/>
      <c r="P19" s="337"/>
      <c r="Q19" s="337"/>
      <c r="R19" s="204"/>
    </row>
    <row r="20" spans="1:18" ht="15.75" customHeight="1" x14ac:dyDescent="0.3">
      <c r="A20" s="241" t="s">
        <v>368</v>
      </c>
      <c r="B20" s="242">
        <f t="shared" ref="B20:K20" si="9">SUBTOTAL(9,B11:B19)</f>
        <v>29796897.23</v>
      </c>
      <c r="C20" s="242">
        <f t="shared" si="9"/>
        <v>33968809.100000001</v>
      </c>
      <c r="D20" s="242">
        <f t="shared" si="9"/>
        <v>35545505.870000005</v>
      </c>
      <c r="E20" s="242">
        <f t="shared" si="9"/>
        <v>13897833.939999999</v>
      </c>
      <c r="F20" s="243">
        <f t="shared" si="9"/>
        <v>13946900</v>
      </c>
      <c r="G20" s="243">
        <f t="shared" si="9"/>
        <v>13600960</v>
      </c>
      <c r="H20" s="243">
        <f t="shared" si="9"/>
        <v>13320570.199999999</v>
      </c>
      <c r="I20" s="243">
        <f t="shared" si="9"/>
        <v>13096364.662</v>
      </c>
      <c r="J20" s="243">
        <f t="shared" si="9"/>
        <v>12920354.004620001</v>
      </c>
      <c r="K20" s="243">
        <f t="shared" si="9"/>
        <v>12785721.936266199</v>
      </c>
      <c r="M20" s="272"/>
      <c r="O20" s="273"/>
      <c r="P20" s="273"/>
      <c r="Q20" s="273"/>
      <c r="R20" s="204"/>
    </row>
    <row r="21" spans="1:18" x14ac:dyDescent="0.3">
      <c r="A21" s="244"/>
      <c r="B21" s="242"/>
      <c r="C21" s="242"/>
      <c r="D21" s="242"/>
      <c r="E21" s="242"/>
      <c r="F21" s="243"/>
      <c r="G21" s="243"/>
      <c r="H21" s="243"/>
      <c r="I21" s="243"/>
      <c r="J21" s="243"/>
      <c r="K21" s="243"/>
      <c r="M21" s="272"/>
      <c r="O21" s="273"/>
      <c r="P21" s="273"/>
      <c r="Q21" s="273"/>
      <c r="R21" s="204"/>
    </row>
    <row r="22" spans="1:18" x14ac:dyDescent="0.3">
      <c r="A22" s="225" t="s">
        <v>369</v>
      </c>
      <c r="B22" s="220">
        <v>0</v>
      </c>
      <c r="C22" s="220">
        <v>0</v>
      </c>
      <c r="D22" s="220">
        <v>0</v>
      </c>
      <c r="E22" s="220">
        <v>18663622</v>
      </c>
      <c r="F22" s="215">
        <f>'GF 5-Year Estimate'!F42+'GF 5-Year Estimate'!F43</f>
        <v>19138000</v>
      </c>
      <c r="G22" s="215">
        <f>'GF 5-Year Estimate'!G42+'GF 5-Year Estimate'!G43</f>
        <v>19329380</v>
      </c>
      <c r="H22" s="215">
        <f>'GF 5-Year Estimate'!H42+'GF 5-Year Estimate'!H43</f>
        <v>19522673.800000001</v>
      </c>
      <c r="I22" s="215">
        <f>'GF 5-Year Estimate'!I42+'GF 5-Year Estimate'!I43</f>
        <v>19717900.538000003</v>
      </c>
      <c r="J22" s="215">
        <f>'GF 5-Year Estimate'!J42+'GF 5-Year Estimate'!J43</f>
        <v>19915079.543380003</v>
      </c>
      <c r="K22" s="215">
        <f>'GF 5-Year Estimate'!K42+'GF 5-Year Estimate'!K43</f>
        <v>20114230.338813804</v>
      </c>
      <c r="L22" s="219"/>
      <c r="M22" s="290"/>
      <c r="O22" s="274"/>
      <c r="P22" s="274"/>
      <c r="Q22" s="274"/>
      <c r="R22" s="204"/>
    </row>
    <row r="23" spans="1:18" ht="15.75" customHeight="1" x14ac:dyDescent="0.3">
      <c r="B23" s="245"/>
      <c r="C23" s="245"/>
      <c r="D23" s="245"/>
      <c r="E23" s="246"/>
      <c r="F23" s="220"/>
      <c r="G23" s="220"/>
      <c r="H23" s="220"/>
      <c r="I23" s="220"/>
      <c r="J23" s="220"/>
      <c r="K23" s="220"/>
      <c r="L23" s="203"/>
      <c r="M23" s="247"/>
    </row>
    <row r="24" spans="1:18" ht="16.2" x14ac:dyDescent="0.45">
      <c r="A24" s="214" t="s">
        <v>370</v>
      </c>
      <c r="B24" s="248">
        <f t="shared" ref="B24:K24" si="10">SUBTOTAL(9,B8:B23)</f>
        <v>102012197.22999999</v>
      </c>
      <c r="C24" s="248">
        <f t="shared" si="10"/>
        <v>110318038.26999998</v>
      </c>
      <c r="D24" s="248">
        <f t="shared" si="10"/>
        <v>120289740.57999998</v>
      </c>
      <c r="E24" s="248">
        <f t="shared" si="10"/>
        <v>116758913.66</v>
      </c>
      <c r="F24" s="248">
        <f t="shared" si="10"/>
        <v>94517094.589999989</v>
      </c>
      <c r="G24" s="248">
        <f t="shared" si="10"/>
        <v>90760478.589999989</v>
      </c>
      <c r="H24" s="248">
        <f t="shared" si="10"/>
        <v>85967110.029999986</v>
      </c>
      <c r="I24" s="248">
        <f t="shared" si="10"/>
        <v>80113369.085199982</v>
      </c>
      <c r="J24" s="248">
        <f t="shared" si="10"/>
        <v>73160262.241815984</v>
      </c>
      <c r="K24" s="248">
        <f t="shared" si="10"/>
        <v>65053873.587951273</v>
      </c>
      <c r="M24" s="249"/>
      <c r="O24" s="331" t="s">
        <v>356</v>
      </c>
      <c r="P24" s="332"/>
      <c r="Q24" s="333"/>
    </row>
    <row r="25" spans="1:18" ht="16.2" x14ac:dyDescent="0.45">
      <c r="A25" s="250"/>
      <c r="B25" s="248"/>
      <c r="C25" s="248"/>
      <c r="D25" s="248"/>
      <c r="E25" s="248"/>
      <c r="F25" s="248"/>
      <c r="G25" s="248"/>
      <c r="H25" s="248"/>
      <c r="I25" s="248"/>
      <c r="J25" s="248"/>
      <c r="K25" s="248"/>
      <c r="M25" s="216"/>
      <c r="O25" s="222" t="str">
        <f t="shared" ref="O25:Q26" si="11">O9</f>
        <v>FY 2023</v>
      </c>
      <c r="P25" s="223" t="str">
        <f t="shared" si="11"/>
        <v>FY 2024</v>
      </c>
      <c r="Q25" s="224" t="str">
        <f t="shared" si="11"/>
        <v>FY 2025</v>
      </c>
    </row>
    <row r="26" spans="1:18" x14ac:dyDescent="0.3">
      <c r="A26" s="214" t="s">
        <v>371</v>
      </c>
      <c r="B26" s="242"/>
      <c r="C26" s="242"/>
      <c r="D26" s="242"/>
      <c r="E26" s="242"/>
      <c r="F26" s="218"/>
      <c r="G26" s="218"/>
      <c r="H26" s="218"/>
      <c r="I26" s="218"/>
      <c r="J26" s="218"/>
      <c r="K26" s="218"/>
      <c r="M26" s="221" t="s">
        <v>358</v>
      </c>
      <c r="O26" s="222" t="str">
        <f t="shared" si="11"/>
        <v>FY 2024</v>
      </c>
      <c r="P26" s="223" t="str">
        <f t="shared" si="11"/>
        <v>FY 2025</v>
      </c>
      <c r="Q26" s="224" t="str">
        <f t="shared" si="11"/>
        <v>FY 2026</v>
      </c>
    </row>
    <row r="27" spans="1:18" x14ac:dyDescent="0.3">
      <c r="A27" s="225" t="s">
        <v>372</v>
      </c>
      <c r="B27" s="220">
        <v>8300499.4700000016</v>
      </c>
      <c r="C27" s="220">
        <v>9764835.5900000017</v>
      </c>
      <c r="D27" s="215">
        <v>11045655.349999994</v>
      </c>
      <c r="E27" s="215">
        <v>12454931</v>
      </c>
      <c r="F27" s="215">
        <v>10841332</v>
      </c>
      <c r="G27" s="215">
        <f>F27+F40+((F27+F40)*$M$27)</f>
        <v>11708638.560000001</v>
      </c>
      <c r="H27" s="215">
        <f>G27+G40+((G27+G40)*$M$27)</f>
        <v>12645329.6448</v>
      </c>
      <c r="I27" s="215">
        <f t="shared" ref="I27:K27" si="12">H27+H40+((H27+H40)*$M$27)</f>
        <v>13656956.016384</v>
      </c>
      <c r="J27" s="215">
        <f t="shared" si="12"/>
        <v>14749512.49769472</v>
      </c>
      <c r="K27" s="215">
        <f t="shared" si="12"/>
        <v>15929473.497510297</v>
      </c>
      <c r="M27" s="285">
        <v>0.08</v>
      </c>
      <c r="O27" s="231">
        <f t="shared" ref="O27:Q30" si="13">C27/B27-1</f>
        <v>0.1764154223842147</v>
      </c>
      <c r="P27" s="232">
        <f t="shared" si="13"/>
        <v>0.13116654634837444</v>
      </c>
      <c r="Q27" s="233">
        <f t="shared" si="13"/>
        <v>0.12758642247515062</v>
      </c>
      <c r="R27" s="232"/>
    </row>
    <row r="28" spans="1:18" x14ac:dyDescent="0.3">
      <c r="A28" s="225" t="s">
        <v>373</v>
      </c>
      <c r="B28" s="228">
        <v>28320.450000000004</v>
      </c>
      <c r="C28" s="228">
        <v>11894.279999999999</v>
      </c>
      <c r="D28" s="229">
        <v>16962.62</v>
      </c>
      <c r="E28" s="229">
        <v>84951</v>
      </c>
      <c r="F28" s="229">
        <v>52109</v>
      </c>
      <c r="G28" s="229">
        <f>F28+(F28*$M$28)</f>
        <v>52109</v>
      </c>
      <c r="H28" s="229">
        <f t="shared" ref="H28:K28" si="14">G28+(G28*$M$28)</f>
        <v>52109</v>
      </c>
      <c r="I28" s="229">
        <f t="shared" si="14"/>
        <v>52109</v>
      </c>
      <c r="J28" s="229">
        <f t="shared" si="14"/>
        <v>52109</v>
      </c>
      <c r="K28" s="229">
        <f t="shared" si="14"/>
        <v>52109</v>
      </c>
      <c r="M28" s="285">
        <v>0</v>
      </c>
      <c r="O28" s="231">
        <f t="shared" si="13"/>
        <v>-0.58001091084357781</v>
      </c>
      <c r="P28" s="232">
        <f t="shared" si="13"/>
        <v>0.4261157463923837</v>
      </c>
      <c r="Q28" s="233">
        <f t="shared" si="13"/>
        <v>4.0081296403503703</v>
      </c>
      <c r="R28" s="232"/>
    </row>
    <row r="29" spans="1:18" x14ac:dyDescent="0.3">
      <c r="A29" s="225" t="s">
        <v>374</v>
      </c>
      <c r="B29" s="228">
        <v>14970049.620000005</v>
      </c>
      <c r="C29" s="228">
        <v>14478114.339999998</v>
      </c>
      <c r="D29" s="229">
        <v>20870522.469999995</v>
      </c>
      <c r="E29" s="229">
        <v>27666023.510000005</v>
      </c>
      <c r="F29" s="229">
        <v>25244515</v>
      </c>
      <c r="G29" s="229">
        <f>F29+F41+((F29+F41)*$M$29)</f>
        <v>25244515</v>
      </c>
      <c r="H29" s="229">
        <f t="shared" ref="H29:K29" si="15">G29+G41+((G29+G41)*$M$29)</f>
        <v>25244515</v>
      </c>
      <c r="I29" s="229">
        <f t="shared" si="15"/>
        <v>25244515</v>
      </c>
      <c r="J29" s="229">
        <f t="shared" si="15"/>
        <v>25244515</v>
      </c>
      <c r="K29" s="229">
        <f t="shared" si="15"/>
        <v>25244515</v>
      </c>
      <c r="M29" s="285">
        <v>0</v>
      </c>
      <c r="O29" s="231">
        <f t="shared" si="13"/>
        <v>-3.2861299226609186E-2</v>
      </c>
      <c r="P29" s="232">
        <f t="shared" si="13"/>
        <v>0.44152214714447391</v>
      </c>
      <c r="Q29" s="233">
        <f t="shared" si="13"/>
        <v>0.32560282330105039</v>
      </c>
      <c r="R29" s="232"/>
    </row>
    <row r="30" spans="1:18" x14ac:dyDescent="0.3">
      <c r="A30" s="237" t="s">
        <v>375</v>
      </c>
      <c r="B30" s="228">
        <v>2364098.5200000005</v>
      </c>
      <c r="C30" s="228">
        <v>1318959.3499999999</v>
      </c>
      <c r="D30" s="228">
        <v>4159142.42</v>
      </c>
      <c r="E30" s="228">
        <v>15120813.559999999</v>
      </c>
      <c r="F30" s="229">
        <v>549000</v>
      </c>
      <c r="G30" s="228">
        <f>F30+((F30*$M$30))</f>
        <v>631350</v>
      </c>
      <c r="H30" s="228">
        <f t="shared" ref="H30:K30" si="16">G30+G43+G44+((G30+G43+G44)*$M$30)</f>
        <v>726052.5</v>
      </c>
      <c r="I30" s="228">
        <f t="shared" si="16"/>
        <v>834960.375</v>
      </c>
      <c r="J30" s="228">
        <f t="shared" si="16"/>
        <v>960204.43125000002</v>
      </c>
      <c r="K30" s="228">
        <f t="shared" si="16"/>
        <v>1104235.0959375</v>
      </c>
      <c r="M30" s="286">
        <v>0.15</v>
      </c>
      <c r="O30" s="234">
        <f t="shared" si="13"/>
        <v>-0.44208782381878076</v>
      </c>
      <c r="P30" s="235">
        <f t="shared" si="13"/>
        <v>2.1533514812264687</v>
      </c>
      <c r="Q30" s="236">
        <f t="shared" si="13"/>
        <v>2.6355604192077653</v>
      </c>
      <c r="R30" s="232"/>
    </row>
    <row r="31" spans="1:18" ht="4.95" customHeight="1" x14ac:dyDescent="0.3">
      <c r="A31" s="237"/>
      <c r="B31" s="228" t="s">
        <v>367</v>
      </c>
      <c r="C31" s="228" t="s">
        <v>367</v>
      </c>
      <c r="D31" s="228" t="s">
        <v>367</v>
      </c>
      <c r="E31" s="228" t="s">
        <v>367</v>
      </c>
      <c r="F31" s="228" t="s">
        <v>367</v>
      </c>
      <c r="G31" s="228" t="s">
        <v>367</v>
      </c>
      <c r="H31" s="228" t="s">
        <v>367</v>
      </c>
      <c r="I31" s="228" t="s">
        <v>367</v>
      </c>
      <c r="J31" s="228" t="s">
        <v>367</v>
      </c>
      <c r="K31" s="228" t="s">
        <v>367</v>
      </c>
      <c r="M31" s="253"/>
    </row>
    <row r="32" spans="1:18" ht="16.2" x14ac:dyDescent="0.45">
      <c r="A32" s="225"/>
      <c r="B32" s="228"/>
      <c r="C32" s="228"/>
      <c r="D32" s="228"/>
      <c r="E32" s="228"/>
      <c r="F32" s="240"/>
      <c r="G32" s="240"/>
      <c r="H32" s="240"/>
      <c r="I32" s="240"/>
      <c r="J32" s="240"/>
      <c r="K32" s="240"/>
      <c r="M32" s="253"/>
    </row>
    <row r="33" spans="1:14" x14ac:dyDescent="0.3">
      <c r="A33" s="241" t="s">
        <v>381</v>
      </c>
      <c r="B33" s="242">
        <f t="shared" ref="B33:K33" si="17">SUBTOTAL(9,B27:B32)</f>
        <v>25662968.060000006</v>
      </c>
      <c r="C33" s="242">
        <f t="shared" si="17"/>
        <v>25573803.560000002</v>
      </c>
      <c r="D33" s="242">
        <f t="shared" si="17"/>
        <v>36092282.859999992</v>
      </c>
      <c r="E33" s="242">
        <f t="shared" si="17"/>
        <v>55326719.070000008</v>
      </c>
      <c r="F33" s="243">
        <f t="shared" si="17"/>
        <v>36686956</v>
      </c>
      <c r="G33" s="243">
        <f t="shared" si="17"/>
        <v>37636612.560000002</v>
      </c>
      <c r="H33" s="243">
        <f t="shared" si="17"/>
        <v>38668006.1448</v>
      </c>
      <c r="I33" s="243">
        <f t="shared" si="17"/>
        <v>39788540.391383998</v>
      </c>
      <c r="J33" s="243">
        <f t="shared" si="17"/>
        <v>41006340.928944714</v>
      </c>
      <c r="K33" s="243">
        <f t="shared" si="17"/>
        <v>42330332.593447797</v>
      </c>
      <c r="M33" s="253"/>
    </row>
    <row r="34" spans="1:14" x14ac:dyDescent="0.3">
      <c r="A34" s="244"/>
      <c r="B34" s="242"/>
      <c r="C34" s="242"/>
      <c r="D34" s="242"/>
      <c r="E34" s="242"/>
      <c r="F34" s="243"/>
      <c r="G34" s="243"/>
      <c r="H34" s="243"/>
      <c r="I34" s="243"/>
      <c r="J34" s="243"/>
      <c r="K34" s="243"/>
      <c r="M34" s="221" t="s">
        <v>358</v>
      </c>
    </row>
    <row r="35" spans="1:14" x14ac:dyDescent="0.3">
      <c r="A35" s="225" t="s">
        <v>382</v>
      </c>
      <c r="B35" s="220">
        <v>0</v>
      </c>
      <c r="C35" s="220">
        <v>0</v>
      </c>
      <c r="D35" s="215">
        <v>255000</v>
      </c>
      <c r="E35" s="215">
        <v>0</v>
      </c>
      <c r="F35" s="215">
        <v>0</v>
      </c>
      <c r="G35" s="215">
        <f>F35+(F35*$M35)</f>
        <v>0</v>
      </c>
      <c r="H35" s="215">
        <f t="shared" ref="H35:K35" si="18">G35+(G35*$M35)</f>
        <v>0</v>
      </c>
      <c r="I35" s="215">
        <f t="shared" si="18"/>
        <v>0</v>
      </c>
      <c r="J35" s="215">
        <f t="shared" si="18"/>
        <v>0</v>
      </c>
      <c r="K35" s="215">
        <f t="shared" si="18"/>
        <v>0</v>
      </c>
      <c r="M35" s="286">
        <v>0</v>
      </c>
    </row>
    <row r="36" spans="1:14" x14ac:dyDescent="0.3">
      <c r="A36" s="225"/>
      <c r="B36" s="220"/>
      <c r="C36" s="220"/>
      <c r="D36" s="215"/>
      <c r="E36" s="215"/>
      <c r="F36" s="215"/>
      <c r="G36" s="215"/>
      <c r="H36" s="215"/>
      <c r="I36" s="215"/>
      <c r="J36" s="215"/>
      <c r="K36" s="215"/>
      <c r="M36" s="253"/>
    </row>
    <row r="37" spans="1:14" x14ac:dyDescent="0.3">
      <c r="A37" s="241" t="s">
        <v>386</v>
      </c>
      <c r="B37" s="242">
        <f t="shared" ref="B37:K37" si="19">SUBTOTAL(9,B26:B36)</f>
        <v>25662968.060000006</v>
      </c>
      <c r="C37" s="242">
        <f t="shared" si="19"/>
        <v>25573803.560000002</v>
      </c>
      <c r="D37" s="242">
        <f t="shared" si="19"/>
        <v>36347282.859999992</v>
      </c>
      <c r="E37" s="242">
        <f t="shared" si="19"/>
        <v>55326719.070000008</v>
      </c>
      <c r="F37" s="242">
        <f t="shared" si="19"/>
        <v>36686956</v>
      </c>
      <c r="G37" s="242">
        <f t="shared" si="19"/>
        <v>37636612.560000002</v>
      </c>
      <c r="H37" s="242">
        <f t="shared" si="19"/>
        <v>38668006.1448</v>
      </c>
      <c r="I37" s="242">
        <f t="shared" si="19"/>
        <v>39788540.391383998</v>
      </c>
      <c r="J37" s="242">
        <f t="shared" si="19"/>
        <v>41006340.928944714</v>
      </c>
      <c r="K37" s="242">
        <f t="shared" si="19"/>
        <v>42330332.593447797</v>
      </c>
      <c r="M37" s="254"/>
    </row>
    <row r="38" spans="1:14" x14ac:dyDescent="0.3">
      <c r="A38" s="244"/>
      <c r="B38" s="220"/>
      <c r="C38" s="220"/>
      <c r="D38" s="215"/>
      <c r="E38" s="215"/>
      <c r="F38" s="215"/>
      <c r="G38" s="215"/>
      <c r="H38" s="215"/>
      <c r="I38" s="215"/>
      <c r="J38" s="215"/>
      <c r="K38" s="215"/>
      <c r="M38" s="254"/>
    </row>
    <row r="39" spans="1:14" x14ac:dyDescent="0.3">
      <c r="A39" s="255" t="s">
        <v>491</v>
      </c>
      <c r="B39" s="220"/>
      <c r="C39" s="220"/>
      <c r="D39" s="215"/>
      <c r="E39" s="215"/>
      <c r="F39" s="215"/>
      <c r="G39" s="220"/>
      <c r="J39" s="220"/>
      <c r="K39" s="220"/>
      <c r="L39" s="220"/>
    </row>
    <row r="40" spans="1:14" x14ac:dyDescent="0.3">
      <c r="A40" s="225" t="s">
        <v>492</v>
      </c>
      <c r="B40" s="229">
        <v>0</v>
      </c>
      <c r="C40" s="229">
        <v>0</v>
      </c>
      <c r="D40" s="229">
        <v>0</v>
      </c>
      <c r="E40" s="229">
        <v>0</v>
      </c>
      <c r="F40" s="229">
        <f>SUMIFS('Road &amp; Bridge Fund'!J5:J19,'Road &amp; Bridge Fund'!O5:O19,"P",'Road &amp; Bridge Fund'!L5:L19,"YES")</f>
        <v>0</v>
      </c>
      <c r="G40" s="229">
        <v>0</v>
      </c>
      <c r="H40" s="229">
        <v>0</v>
      </c>
      <c r="I40" s="229">
        <v>0</v>
      </c>
      <c r="J40" s="229">
        <v>0</v>
      </c>
      <c r="K40" s="229">
        <v>0</v>
      </c>
      <c r="L40" s="220"/>
    </row>
    <row r="41" spans="1:14" x14ac:dyDescent="0.3">
      <c r="A41" s="225" t="s">
        <v>493</v>
      </c>
      <c r="B41" s="229">
        <v>0</v>
      </c>
      <c r="C41" s="229">
        <v>0</v>
      </c>
      <c r="D41" s="229">
        <v>0</v>
      </c>
      <c r="E41" s="229">
        <v>0</v>
      </c>
      <c r="F41" s="229">
        <f>SUMIFS('Road &amp; Bridge Fund'!J5:J19,'Road &amp; Bridge Fund'!O5:O19,"M",'Road &amp; Bridge Fund'!L5:L19,"YES")</f>
        <v>0</v>
      </c>
      <c r="G41" s="229">
        <v>0</v>
      </c>
      <c r="H41" s="229">
        <v>0</v>
      </c>
      <c r="I41" s="229">
        <v>0</v>
      </c>
      <c r="J41" s="229">
        <v>0</v>
      </c>
      <c r="K41" s="229">
        <v>0</v>
      </c>
      <c r="L41" s="220"/>
    </row>
    <row r="42" spans="1:14" x14ac:dyDescent="0.3">
      <c r="A42" s="225" t="s">
        <v>506</v>
      </c>
      <c r="B42" s="229">
        <v>0</v>
      </c>
      <c r="C42" s="229">
        <v>0</v>
      </c>
      <c r="D42" s="229">
        <v>0</v>
      </c>
      <c r="E42" s="229">
        <v>0</v>
      </c>
      <c r="F42" s="229">
        <f>SUMIF('Road &amp; Bridge Fund'!L25:L53,"YES",'Road &amp; Bridge Fund'!J25:J53)</f>
        <v>0</v>
      </c>
      <c r="G42" s="229">
        <v>0</v>
      </c>
      <c r="H42" s="229">
        <v>0</v>
      </c>
      <c r="I42" s="229">
        <v>0</v>
      </c>
      <c r="J42" s="229">
        <v>0</v>
      </c>
      <c r="K42" s="229">
        <v>0</v>
      </c>
      <c r="L42" s="220"/>
    </row>
    <row r="43" spans="1:14" x14ac:dyDescent="0.3">
      <c r="A43" s="225" t="s">
        <v>494</v>
      </c>
      <c r="B43" s="229">
        <v>0</v>
      </c>
      <c r="C43" s="229">
        <v>0</v>
      </c>
      <c r="D43" s="229">
        <v>0</v>
      </c>
      <c r="E43" s="229">
        <v>0</v>
      </c>
      <c r="F43" s="229">
        <f>SUMIFS('Road &amp; Bridge Fund'!I5:I19,'Road &amp; Bridge Fund'!O5:O19,"M",'Road &amp; Bridge Fund'!L5:L19,"YES")</f>
        <v>0</v>
      </c>
      <c r="G43" s="229">
        <v>0</v>
      </c>
      <c r="H43" s="229">
        <v>0</v>
      </c>
      <c r="I43" s="229">
        <v>0</v>
      </c>
      <c r="J43" s="229">
        <v>0</v>
      </c>
      <c r="K43" s="229">
        <v>0</v>
      </c>
      <c r="L43" s="220"/>
    </row>
    <row r="44" spans="1:14" x14ac:dyDescent="0.3">
      <c r="A44" s="225" t="s">
        <v>496</v>
      </c>
      <c r="B44" s="229">
        <v>0</v>
      </c>
      <c r="C44" s="229">
        <v>0</v>
      </c>
      <c r="D44" s="229">
        <v>0</v>
      </c>
      <c r="E44" s="229">
        <v>0</v>
      </c>
      <c r="F44" s="229">
        <f>SUMIF('Road &amp; Bridge Fund'!L25:L53,"YES",'Road &amp; Bridge Fund'!I25:I53)</f>
        <v>0</v>
      </c>
      <c r="G44" s="229">
        <v>0</v>
      </c>
      <c r="H44" s="229">
        <v>0</v>
      </c>
      <c r="I44" s="229">
        <v>0</v>
      </c>
      <c r="J44" s="229">
        <v>0</v>
      </c>
      <c r="K44" s="229">
        <v>0</v>
      </c>
      <c r="L44" s="220"/>
    </row>
    <row r="45" spans="1:14" ht="4.95" customHeight="1" x14ac:dyDescent="0.3">
      <c r="A45" s="237"/>
      <c r="B45" s="228" t="s">
        <v>367</v>
      </c>
      <c r="C45" s="228" t="s">
        <v>367</v>
      </c>
      <c r="D45" s="228" t="s">
        <v>367</v>
      </c>
      <c r="E45" s="228" t="s">
        <v>367</v>
      </c>
      <c r="F45" s="228" t="s">
        <v>367</v>
      </c>
      <c r="G45" s="228" t="s">
        <v>367</v>
      </c>
      <c r="H45" s="228" t="s">
        <v>367</v>
      </c>
      <c r="I45" s="228" t="s">
        <v>367</v>
      </c>
      <c r="J45" s="228" t="s">
        <v>367</v>
      </c>
      <c r="K45" s="228" t="s">
        <v>367</v>
      </c>
      <c r="M45" s="254"/>
    </row>
    <row r="46" spans="1:14" x14ac:dyDescent="0.3">
      <c r="A46" s="225"/>
      <c r="B46" s="220"/>
      <c r="C46" s="220"/>
      <c r="D46" s="215"/>
      <c r="E46" s="215"/>
      <c r="F46" s="215"/>
      <c r="G46" s="215"/>
      <c r="H46" s="215"/>
      <c r="I46" s="215"/>
      <c r="J46" s="215"/>
      <c r="K46" s="215"/>
      <c r="M46" s="254"/>
    </row>
    <row r="47" spans="1:14" ht="16.2" x14ac:dyDescent="0.45">
      <c r="A47" s="241" t="s">
        <v>391</v>
      </c>
      <c r="B47" s="258">
        <f t="shared" ref="B47:K47" si="20">SUBTOTAL(9,B27:B46)</f>
        <v>25662968.060000006</v>
      </c>
      <c r="C47" s="258">
        <f t="shared" si="20"/>
        <v>25573803.560000002</v>
      </c>
      <c r="D47" s="258">
        <f t="shared" si="20"/>
        <v>36347282.859999992</v>
      </c>
      <c r="E47" s="258">
        <f t="shared" si="20"/>
        <v>55326719.070000008</v>
      </c>
      <c r="F47" s="258">
        <f t="shared" si="20"/>
        <v>36686956</v>
      </c>
      <c r="G47" s="258">
        <f t="shared" si="20"/>
        <v>37636612.560000002</v>
      </c>
      <c r="H47" s="258">
        <f t="shared" si="20"/>
        <v>38668006.1448</v>
      </c>
      <c r="I47" s="258">
        <f t="shared" si="20"/>
        <v>39788540.391383998</v>
      </c>
      <c r="J47" s="258">
        <f t="shared" si="20"/>
        <v>41006340.928944714</v>
      </c>
      <c r="K47" s="258">
        <f t="shared" si="20"/>
        <v>42330332.593447797</v>
      </c>
      <c r="L47" s="216"/>
      <c r="M47" s="253"/>
      <c r="N47" s="216"/>
    </row>
    <row r="48" spans="1:14" x14ac:dyDescent="0.3">
      <c r="A48" s="206" t="s">
        <v>500</v>
      </c>
      <c r="D48" s="229">
        <v>255000</v>
      </c>
      <c r="L48" s="259"/>
      <c r="M48" s="254"/>
      <c r="N48" s="216"/>
    </row>
    <row r="49" spans="1:13" ht="16.2" x14ac:dyDescent="0.45">
      <c r="A49" s="241" t="s">
        <v>392</v>
      </c>
      <c r="B49" s="261">
        <f>B24-B47</f>
        <v>76349229.169999987</v>
      </c>
      <c r="C49" s="261">
        <f>C24-C47</f>
        <v>84744234.709999979</v>
      </c>
      <c r="D49" s="261">
        <f>D24-D47+D48</f>
        <v>84197457.719999999</v>
      </c>
      <c r="E49" s="262">
        <f t="shared" ref="E49:K49" si="21">E24-E47</f>
        <v>61432194.589999989</v>
      </c>
      <c r="F49" s="261">
        <f t="shared" si="21"/>
        <v>57830138.589999989</v>
      </c>
      <c r="G49" s="261">
        <f t="shared" si="21"/>
        <v>53123866.029999986</v>
      </c>
      <c r="H49" s="261">
        <f t="shared" si="21"/>
        <v>47299103.885199986</v>
      </c>
      <c r="I49" s="261">
        <f t="shared" si="21"/>
        <v>40324828.693815984</v>
      </c>
      <c r="J49" s="261">
        <f t="shared" si="21"/>
        <v>32153921.31287127</v>
      </c>
      <c r="K49" s="261">
        <f t="shared" si="21"/>
        <v>22723540.994503476</v>
      </c>
      <c r="L49" s="263"/>
      <c r="M49" s="264"/>
    </row>
    <row r="50" spans="1:13" x14ac:dyDescent="0.3">
      <c r="E50" s="267"/>
      <c r="M50" s="264"/>
    </row>
    <row r="51" spans="1:13" s="267" customFormat="1" x14ac:dyDescent="0.3">
      <c r="A51" s="266" t="s">
        <v>501</v>
      </c>
      <c r="B51" s="220">
        <v>500000</v>
      </c>
      <c r="C51" s="220">
        <v>500000</v>
      </c>
      <c r="D51" s="220">
        <v>500000</v>
      </c>
      <c r="E51" s="220">
        <v>500000</v>
      </c>
      <c r="F51" s="220">
        <v>500000</v>
      </c>
      <c r="G51" s="220">
        <v>500000</v>
      </c>
      <c r="H51" s="220">
        <v>500000</v>
      </c>
      <c r="I51" s="220">
        <v>500000</v>
      </c>
      <c r="J51" s="220">
        <v>500000</v>
      </c>
      <c r="K51" s="220">
        <v>500000</v>
      </c>
    </row>
    <row r="52" spans="1:13" s="267" customFormat="1" x14ac:dyDescent="0.3">
      <c r="A52" s="266" t="s">
        <v>502</v>
      </c>
      <c r="B52" s="229">
        <v>500000</v>
      </c>
      <c r="C52" s="229">
        <v>500000</v>
      </c>
      <c r="D52" s="229">
        <v>500000</v>
      </c>
      <c r="E52" s="229">
        <v>500000</v>
      </c>
      <c r="F52" s="229">
        <v>500000</v>
      </c>
      <c r="G52" s="229">
        <v>500000</v>
      </c>
      <c r="H52" s="229">
        <v>500000</v>
      </c>
      <c r="I52" s="229">
        <v>500000</v>
      </c>
      <c r="J52" s="229">
        <v>500000</v>
      </c>
      <c r="K52" s="229">
        <v>500000</v>
      </c>
    </row>
    <row r="53" spans="1:13" s="267" customFormat="1" x14ac:dyDescent="0.3">
      <c r="A53" s="266" t="s">
        <v>503</v>
      </c>
      <c r="B53" s="229">
        <v>432000</v>
      </c>
      <c r="C53" s="229">
        <v>432000</v>
      </c>
      <c r="D53" s="229">
        <v>177000</v>
      </c>
      <c r="E53" s="229">
        <v>0</v>
      </c>
      <c r="F53" s="229">
        <v>0</v>
      </c>
      <c r="G53" s="229">
        <v>0</v>
      </c>
      <c r="H53" s="229">
        <f>G53</f>
        <v>0</v>
      </c>
      <c r="I53" s="229">
        <f>H53</f>
        <v>0</v>
      </c>
      <c r="J53" s="229">
        <f>I53</f>
        <v>0</v>
      </c>
      <c r="K53" s="229">
        <f>J53</f>
        <v>0</v>
      </c>
    </row>
    <row r="54" spans="1:13" ht="4.95" customHeight="1" x14ac:dyDescent="0.3">
      <c r="A54" s="237"/>
      <c r="B54" s="229" t="s">
        <v>367</v>
      </c>
      <c r="C54" s="229" t="s">
        <v>367</v>
      </c>
      <c r="D54" s="229" t="s">
        <v>367</v>
      </c>
      <c r="E54" s="229" t="s">
        <v>367</v>
      </c>
      <c r="F54" s="229" t="s">
        <v>367</v>
      </c>
      <c r="G54" s="228" t="s">
        <v>367</v>
      </c>
      <c r="H54" s="228" t="s">
        <v>367</v>
      </c>
      <c r="I54" s="228" t="s">
        <v>367</v>
      </c>
      <c r="J54" s="228" t="s">
        <v>367</v>
      </c>
      <c r="K54" s="228" t="s">
        <v>367</v>
      </c>
      <c r="M54" s="254"/>
    </row>
    <row r="55" spans="1:13" s="267" customFormat="1" ht="16.2" x14ac:dyDescent="0.45">
      <c r="A55" s="291"/>
      <c r="B55" s="240"/>
      <c r="C55" s="240"/>
      <c r="D55" s="240"/>
    </row>
    <row r="56" spans="1:13" x14ac:dyDescent="0.3">
      <c r="A56" s="241" t="s">
        <v>400</v>
      </c>
      <c r="B56" s="242">
        <f t="shared" ref="B56:K56" si="22">SUBTOTAL(9,B51:B55)</f>
        <v>1432000</v>
      </c>
      <c r="C56" s="242">
        <f t="shared" si="22"/>
        <v>1432000</v>
      </c>
      <c r="D56" s="242">
        <f t="shared" si="22"/>
        <v>1177000</v>
      </c>
      <c r="E56" s="242">
        <f t="shared" si="22"/>
        <v>1000000</v>
      </c>
      <c r="F56" s="242">
        <f t="shared" si="22"/>
        <v>1000000</v>
      </c>
      <c r="G56" s="242">
        <f t="shared" si="22"/>
        <v>1000000</v>
      </c>
      <c r="H56" s="242">
        <f t="shared" si="22"/>
        <v>1000000</v>
      </c>
      <c r="I56" s="242">
        <f t="shared" si="22"/>
        <v>1000000</v>
      </c>
      <c r="J56" s="242">
        <f t="shared" si="22"/>
        <v>1000000</v>
      </c>
      <c r="K56" s="242">
        <f t="shared" si="22"/>
        <v>1000000</v>
      </c>
      <c r="M56" s="227"/>
    </row>
    <row r="57" spans="1:13" ht="16.2" x14ac:dyDescent="0.45">
      <c r="A57" s="269"/>
      <c r="B57" s="239"/>
      <c r="C57" s="239"/>
      <c r="D57" s="239"/>
    </row>
    <row r="58" spans="1:13" ht="16.2" x14ac:dyDescent="0.45">
      <c r="A58" s="241" t="s">
        <v>401</v>
      </c>
      <c r="B58" s="261">
        <f t="shared" ref="B58:K58" si="23">B49-B56</f>
        <v>74917229.169999987</v>
      </c>
      <c r="C58" s="261">
        <f t="shared" si="23"/>
        <v>83312234.709999979</v>
      </c>
      <c r="D58" s="261">
        <f t="shared" si="23"/>
        <v>83020457.719999999</v>
      </c>
      <c r="E58" s="261">
        <f t="shared" si="23"/>
        <v>60432194.589999989</v>
      </c>
      <c r="F58" s="261">
        <f t="shared" si="23"/>
        <v>56830138.589999989</v>
      </c>
      <c r="G58" s="261">
        <f t="shared" si="23"/>
        <v>52123866.029999986</v>
      </c>
      <c r="H58" s="261">
        <f t="shared" si="23"/>
        <v>46299103.885199986</v>
      </c>
      <c r="I58" s="261">
        <f t="shared" si="23"/>
        <v>39324828.693815984</v>
      </c>
      <c r="J58" s="261">
        <f t="shared" si="23"/>
        <v>31153921.31287127</v>
      </c>
      <c r="K58" s="261">
        <f t="shared" si="23"/>
        <v>21723540.994503476</v>
      </c>
      <c r="L58" s="263"/>
    </row>
    <row r="59" spans="1:13" x14ac:dyDescent="0.3">
      <c r="F59" s="251"/>
    </row>
    <row r="61" spans="1:13" x14ac:dyDescent="0.3">
      <c r="A61" s="206" t="s">
        <v>402</v>
      </c>
      <c r="B61" s="263">
        <f t="shared" ref="B61:K61" si="24">B47/365</f>
        <v>70309.501534246592</v>
      </c>
      <c r="C61" s="263">
        <f t="shared" si="24"/>
        <v>70065.215232876726</v>
      </c>
      <c r="D61" s="263">
        <f t="shared" si="24"/>
        <v>99581.596876712312</v>
      </c>
      <c r="E61" s="263">
        <f t="shared" si="24"/>
        <v>151580.05224657536</v>
      </c>
      <c r="F61" s="263">
        <f t="shared" si="24"/>
        <v>100512.20821917808</v>
      </c>
      <c r="G61" s="263">
        <f t="shared" si="24"/>
        <v>103114.00701369863</v>
      </c>
      <c r="H61" s="263">
        <f t="shared" si="24"/>
        <v>105939.74286246575</v>
      </c>
      <c r="I61" s="263">
        <f t="shared" si="24"/>
        <v>109009.69970242192</v>
      </c>
      <c r="J61" s="263">
        <f t="shared" si="24"/>
        <v>112346.13953135538</v>
      </c>
      <c r="K61" s="263">
        <f t="shared" si="24"/>
        <v>115973.5139546515</v>
      </c>
    </row>
    <row r="62" spans="1:13" x14ac:dyDescent="0.3">
      <c r="A62" s="206" t="s">
        <v>403</v>
      </c>
      <c r="B62" s="263">
        <f>B61*120</f>
        <v>8437140.1841095909</v>
      </c>
      <c r="C62" s="263">
        <f t="shared" ref="C62:K62" si="25">C61*120</f>
        <v>8407825.8279452063</v>
      </c>
      <c r="D62" s="263">
        <f t="shared" si="25"/>
        <v>11949791.625205478</v>
      </c>
      <c r="E62" s="263">
        <f t="shared" si="25"/>
        <v>18189606.269589044</v>
      </c>
      <c r="F62" s="263">
        <f t="shared" si="25"/>
        <v>12061464.98630137</v>
      </c>
      <c r="G62" s="263">
        <f t="shared" si="25"/>
        <v>12373680.841643836</v>
      </c>
      <c r="H62" s="263">
        <f t="shared" si="25"/>
        <v>12712769.143495889</v>
      </c>
      <c r="I62" s="263">
        <f t="shared" si="25"/>
        <v>13081163.96429063</v>
      </c>
      <c r="J62" s="263">
        <f t="shared" si="25"/>
        <v>13481536.743762646</v>
      </c>
      <c r="K62" s="263">
        <f t="shared" si="25"/>
        <v>13916821.674558179</v>
      </c>
    </row>
    <row r="63" spans="1:13" x14ac:dyDescent="0.3">
      <c r="A63" s="206" t="s">
        <v>404</v>
      </c>
      <c r="B63" s="263">
        <f>B61*180</f>
        <v>12655710.276164386</v>
      </c>
      <c r="C63" s="263">
        <f t="shared" ref="C63:K63" si="26">C61*180</f>
        <v>12611738.741917811</v>
      </c>
      <c r="D63" s="263">
        <f t="shared" si="26"/>
        <v>17924687.437808216</v>
      </c>
      <c r="E63" s="263">
        <f t="shared" si="26"/>
        <v>27284409.404383566</v>
      </c>
      <c r="F63" s="263">
        <f t="shared" si="26"/>
        <v>18092197.479452055</v>
      </c>
      <c r="G63" s="263">
        <f t="shared" si="26"/>
        <v>18560521.262465753</v>
      </c>
      <c r="H63" s="263">
        <f t="shared" si="26"/>
        <v>19069153.715243835</v>
      </c>
      <c r="I63" s="263">
        <f t="shared" si="26"/>
        <v>19621745.946435943</v>
      </c>
      <c r="J63" s="263">
        <f t="shared" si="26"/>
        <v>20222305.115643967</v>
      </c>
      <c r="K63" s="263">
        <f t="shared" si="26"/>
        <v>20875232.51183727</v>
      </c>
    </row>
    <row r="64" spans="1:13" x14ac:dyDescent="0.3">
      <c r="A64" s="206" t="s">
        <v>405</v>
      </c>
      <c r="B64" s="270">
        <f>B58/B61</f>
        <v>1065.5349211017951</v>
      </c>
      <c r="C64" s="270">
        <f t="shared" ref="C64:K64" si="27">C58/C61</f>
        <v>1189.0669918460103</v>
      </c>
      <c r="D64" s="270">
        <f t="shared" si="27"/>
        <v>833.69277380422056</v>
      </c>
      <c r="E64" s="270">
        <f t="shared" si="27"/>
        <v>398.68171104529574</v>
      </c>
      <c r="F64" s="270">
        <f t="shared" si="27"/>
        <v>565.40533331110919</v>
      </c>
      <c r="G64" s="270">
        <f t="shared" si="27"/>
        <v>505.49743472848809</v>
      </c>
      <c r="H64" s="270">
        <f t="shared" si="27"/>
        <v>437.03243593206486</v>
      </c>
      <c r="I64" s="270">
        <f t="shared" si="27"/>
        <v>360.74614278514781</v>
      </c>
      <c r="J64" s="270">
        <f t="shared" si="27"/>
        <v>277.30299806319852</v>
      </c>
      <c r="K64" s="270">
        <f t="shared" si="27"/>
        <v>187.31467430570325</v>
      </c>
    </row>
  </sheetData>
  <sheetProtection algorithmName="SHA-512" hashValue="Gc+DRZXZgrWyDfSok9brWdxM1WdcS+v3oRV/nxNO0ydQ6zsymOiR17A//oAg949Aibe6mOwCCGohORgQIfkhcA==" saltValue="3ZxmLgEz6o54nMfKwjTTow==" spinCount="100000" sheet="1" objects="1" scenarios="1"/>
  <mergeCells count="7">
    <mergeCell ref="O8:Q8"/>
    <mergeCell ref="O19:Q19"/>
    <mergeCell ref="O24:Q24"/>
    <mergeCell ref="A1:K1"/>
    <mergeCell ref="A2:K2"/>
    <mergeCell ref="A3:K3"/>
    <mergeCell ref="A4:K4"/>
  </mergeCells>
  <pageMargins left="0.25" right="0.25" top="0.75" bottom="0.5" header="0.3" footer="0.3"/>
  <pageSetup scale="57" fitToHeight="0" orientation="portrait" horizontalDpi="1200" verticalDpi="1200"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6CE3D-1D78-40F0-8F13-6CC96CC0759C}">
  <sheetPr>
    <tabColor theme="5" tint="0.39997558519241921"/>
  </sheetPr>
  <dimension ref="A1:V78"/>
  <sheetViews>
    <sheetView zoomScaleNormal="100" workbookViewId="0">
      <pane xSplit="1" ySplit="3" topLeftCell="B55" activePane="bottomRight" state="frozen"/>
      <selection pane="topRight" activeCell="B1" sqref="B1"/>
      <selection pane="bottomLeft" activeCell="A5" sqref="A5"/>
      <selection pane="bottomRight" activeCell="E61" sqref="E61"/>
    </sheetView>
  </sheetViews>
  <sheetFormatPr defaultColWidth="9.109375" defaultRowHeight="14.4" x14ac:dyDescent="0.3"/>
  <cols>
    <col min="1" max="1" width="17.109375" style="123" bestFit="1" customWidth="1"/>
    <col min="2" max="2" width="19.109375" style="123" bestFit="1" customWidth="1"/>
    <col min="3" max="3" width="11.88671875" style="123" customWidth="1"/>
    <col min="4" max="4" width="19.109375" style="123" bestFit="1" customWidth="1"/>
    <col min="5" max="5" width="13" style="123" customWidth="1"/>
    <col min="6" max="6" width="16.6640625" style="123" bestFit="1" customWidth="1"/>
    <col min="7" max="7" width="10.6640625" style="123" customWidth="1"/>
    <col min="8" max="8" width="19.109375" style="123" bestFit="1" customWidth="1"/>
    <col min="9" max="9" width="11.109375" style="123" customWidth="1"/>
    <col min="10" max="10" width="17.88671875" style="123" bestFit="1" customWidth="1"/>
    <col min="11" max="11" width="17" style="123" bestFit="1" customWidth="1"/>
    <col min="12" max="12" width="17.6640625" style="123" bestFit="1" customWidth="1"/>
    <col min="13" max="13" width="12.5546875" style="123" bestFit="1" customWidth="1"/>
    <col min="14" max="14" width="8.33203125" style="123" bestFit="1" customWidth="1"/>
    <col min="15" max="15" width="13.109375" style="123" bestFit="1" customWidth="1"/>
    <col min="16" max="16" width="19.33203125" style="122" bestFit="1" customWidth="1"/>
    <col min="17" max="17" width="17.109375" style="122" bestFit="1" customWidth="1"/>
    <col min="18" max="18" width="18.6640625" style="122" bestFit="1" customWidth="1"/>
    <col min="19" max="19" width="19.33203125" style="122" bestFit="1" customWidth="1"/>
    <col min="20" max="20" width="21.33203125" style="122" bestFit="1" customWidth="1"/>
    <col min="21" max="21" width="17.109375" style="122" bestFit="1" customWidth="1"/>
    <col min="22" max="22" width="23" style="122" bestFit="1" customWidth="1"/>
    <col min="23" max="23" width="21.33203125" style="123" bestFit="1" customWidth="1"/>
    <col min="24" max="24" width="16.33203125" style="123" bestFit="1" customWidth="1"/>
    <col min="25" max="25" width="21.33203125" style="123" bestFit="1" customWidth="1"/>
    <col min="26" max="26" width="16.33203125" style="123" bestFit="1" customWidth="1"/>
    <col min="27" max="16384" width="9.109375" style="123"/>
  </cols>
  <sheetData>
    <row r="1" spans="1:22" ht="33" customHeight="1" x14ac:dyDescent="0.3">
      <c r="A1" s="338" t="s">
        <v>406</v>
      </c>
      <c r="B1" s="338"/>
      <c r="C1" s="338"/>
      <c r="D1" s="338"/>
      <c r="E1" s="338"/>
      <c r="F1" s="338"/>
      <c r="G1" s="338"/>
      <c r="H1" s="338"/>
      <c r="I1" s="338"/>
      <c r="J1" s="338"/>
      <c r="K1" s="338"/>
      <c r="L1" s="338"/>
      <c r="M1" s="338"/>
      <c r="N1" s="338"/>
      <c r="O1" s="338"/>
    </row>
    <row r="2" spans="1:22" ht="13.5" customHeight="1" x14ac:dyDescent="0.3"/>
    <row r="3" spans="1:22" s="129" customFormat="1" ht="55.8" thickBot="1" x14ac:dyDescent="0.35">
      <c r="A3" s="124" t="s">
        <v>407</v>
      </c>
      <c r="B3" s="125" t="s">
        <v>408</v>
      </c>
      <c r="C3" s="126" t="s">
        <v>409</v>
      </c>
      <c r="D3" s="125" t="s">
        <v>15</v>
      </c>
      <c r="E3" s="126" t="s">
        <v>409</v>
      </c>
      <c r="F3" s="125" t="s">
        <v>17</v>
      </c>
      <c r="G3" s="126" t="s">
        <v>409</v>
      </c>
      <c r="H3" s="125" t="s">
        <v>16</v>
      </c>
      <c r="I3" s="126" t="s">
        <v>409</v>
      </c>
      <c r="J3" s="126" t="s">
        <v>410</v>
      </c>
      <c r="K3" s="127" t="s">
        <v>18</v>
      </c>
      <c r="L3" s="126" t="s">
        <v>411</v>
      </c>
      <c r="M3" s="126" t="s">
        <v>412</v>
      </c>
      <c r="N3" s="126" t="s">
        <v>413</v>
      </c>
      <c r="O3" s="126" t="s">
        <v>235</v>
      </c>
      <c r="P3" s="128" t="s">
        <v>414</v>
      </c>
      <c r="Q3" s="128" t="s">
        <v>415</v>
      </c>
      <c r="R3" s="128" t="s">
        <v>416</v>
      </c>
      <c r="S3" s="128" t="s">
        <v>417</v>
      </c>
      <c r="T3" s="128" t="s">
        <v>418</v>
      </c>
      <c r="U3" s="128" t="s">
        <v>419</v>
      </c>
      <c r="V3" s="128" t="s">
        <v>420</v>
      </c>
    </row>
    <row r="4" spans="1:22" s="129" customFormat="1" ht="24.75" customHeight="1" x14ac:dyDescent="0.3">
      <c r="A4" s="130">
        <v>1993</v>
      </c>
      <c r="B4" s="131">
        <v>15778837505</v>
      </c>
      <c r="C4" s="132"/>
      <c r="D4" s="131"/>
      <c r="E4" s="132"/>
      <c r="F4" s="133"/>
      <c r="G4" s="134"/>
      <c r="H4" s="131">
        <f t="shared" ref="H4:H15" si="0">B4</f>
        <v>15778837505</v>
      </c>
      <c r="I4" s="134"/>
      <c r="J4" s="135"/>
      <c r="K4" s="131"/>
      <c r="L4" s="134"/>
      <c r="M4" s="134"/>
      <c r="N4" s="134"/>
      <c r="O4" s="136"/>
      <c r="P4" s="137"/>
      <c r="Q4" s="137"/>
      <c r="R4" s="137"/>
      <c r="S4" s="137"/>
      <c r="T4" s="137"/>
      <c r="U4" s="137"/>
      <c r="V4" s="137"/>
    </row>
    <row r="5" spans="1:22" s="129" customFormat="1" ht="24.75" customHeight="1" x14ac:dyDescent="0.3">
      <c r="A5" s="138">
        <v>1994</v>
      </c>
      <c r="B5" s="139">
        <v>17036705371</v>
      </c>
      <c r="C5" s="140">
        <f t="shared" ref="C5:I18" si="1">(B5/B4)-1</f>
        <v>7.9718665307340064E-2</v>
      </c>
      <c r="D5" s="139"/>
      <c r="E5" s="140"/>
      <c r="F5" s="141"/>
      <c r="G5" s="142"/>
      <c r="H5" s="139">
        <f t="shared" si="0"/>
        <v>17036705371</v>
      </c>
      <c r="I5" s="142">
        <f t="shared" si="1"/>
        <v>7.9718665307340064E-2</v>
      </c>
      <c r="J5" s="143">
        <f t="shared" ref="J5:J21" si="2">H5-H4</f>
        <v>1257867866</v>
      </c>
      <c r="K5" s="139"/>
      <c r="L5" s="142"/>
      <c r="M5" s="142"/>
      <c r="N5" s="142"/>
      <c r="O5" s="144"/>
      <c r="P5" s="137"/>
      <c r="Q5" s="137"/>
      <c r="R5" s="137"/>
      <c r="S5" s="137"/>
      <c r="T5" s="137"/>
      <c r="U5" s="137"/>
      <c r="V5" s="137"/>
    </row>
    <row r="6" spans="1:22" s="129" customFormat="1" ht="24.75" customHeight="1" x14ac:dyDescent="0.3">
      <c r="A6" s="138">
        <v>1995</v>
      </c>
      <c r="B6" s="139">
        <v>19079101455</v>
      </c>
      <c r="C6" s="140">
        <f t="shared" si="1"/>
        <v>0.11988210393522336</v>
      </c>
      <c r="D6" s="139"/>
      <c r="E6" s="140"/>
      <c r="F6" s="141"/>
      <c r="G6" s="142"/>
      <c r="H6" s="139">
        <f t="shared" si="0"/>
        <v>19079101455</v>
      </c>
      <c r="I6" s="142">
        <f t="shared" si="1"/>
        <v>0.11988210393522336</v>
      </c>
      <c r="J6" s="143">
        <f t="shared" si="2"/>
        <v>2042396084</v>
      </c>
      <c r="K6" s="139"/>
      <c r="L6" s="142"/>
      <c r="M6" s="142"/>
      <c r="N6" s="142"/>
      <c r="O6" s="145">
        <v>0.25</v>
      </c>
      <c r="P6" s="137"/>
      <c r="Q6" s="137"/>
      <c r="R6" s="137"/>
      <c r="S6" s="137"/>
      <c r="T6" s="137"/>
      <c r="U6" s="137"/>
      <c r="V6" s="137"/>
    </row>
    <row r="7" spans="1:22" s="129" customFormat="1" ht="24.75" customHeight="1" x14ac:dyDescent="0.3">
      <c r="A7" s="138">
        <v>1996</v>
      </c>
      <c r="B7" s="139">
        <v>21119768517</v>
      </c>
      <c r="C7" s="140">
        <f t="shared" si="1"/>
        <v>0.1069582373579343</v>
      </c>
      <c r="D7" s="139"/>
      <c r="E7" s="140"/>
      <c r="F7" s="141"/>
      <c r="G7" s="142"/>
      <c r="H7" s="139">
        <f t="shared" si="0"/>
        <v>21119768517</v>
      </c>
      <c r="I7" s="142">
        <f t="shared" si="1"/>
        <v>0.1069582373579343</v>
      </c>
      <c r="J7" s="143">
        <f t="shared" si="2"/>
        <v>2040667062</v>
      </c>
      <c r="K7" s="139"/>
      <c r="L7" s="142"/>
      <c r="M7" s="142"/>
      <c r="N7" s="142"/>
      <c r="O7" s="145">
        <v>0.25</v>
      </c>
      <c r="P7" s="137"/>
      <c r="Q7" s="137"/>
      <c r="R7" s="137"/>
      <c r="S7" s="137"/>
      <c r="T7" s="137"/>
      <c r="U7" s="137"/>
      <c r="V7" s="137"/>
    </row>
    <row r="8" spans="1:22" s="129" customFormat="1" ht="24.75" customHeight="1" x14ac:dyDescent="0.3">
      <c r="A8" s="138">
        <v>1997</v>
      </c>
      <c r="B8" s="139">
        <v>23597685735</v>
      </c>
      <c r="C8" s="140">
        <f t="shared" si="1"/>
        <v>0.11732691179855692</v>
      </c>
      <c r="D8" s="139"/>
      <c r="E8" s="140"/>
      <c r="F8" s="141"/>
      <c r="G8" s="142"/>
      <c r="H8" s="139">
        <f t="shared" si="0"/>
        <v>23597685735</v>
      </c>
      <c r="I8" s="142">
        <f t="shared" si="1"/>
        <v>0.11732691179855692</v>
      </c>
      <c r="J8" s="143">
        <f t="shared" si="2"/>
        <v>2477917218</v>
      </c>
      <c r="K8" s="139"/>
      <c r="L8" s="142"/>
      <c r="M8" s="142"/>
      <c r="N8" s="142"/>
      <c r="O8" s="145">
        <v>0.25</v>
      </c>
      <c r="P8" s="137"/>
      <c r="Q8" s="137"/>
      <c r="R8" s="137"/>
      <c r="S8" s="137"/>
      <c r="T8" s="137"/>
      <c r="U8" s="137"/>
      <c r="V8" s="137"/>
    </row>
    <row r="9" spans="1:22" s="129" customFormat="1" ht="24.75" customHeight="1" x14ac:dyDescent="0.3">
      <c r="A9" s="138">
        <v>1998</v>
      </c>
      <c r="B9" s="139">
        <v>27054094602</v>
      </c>
      <c r="C9" s="140">
        <f t="shared" si="1"/>
        <v>0.14647236622333137</v>
      </c>
      <c r="D9" s="139"/>
      <c r="E9" s="140"/>
      <c r="F9" s="141"/>
      <c r="G9" s="142"/>
      <c r="H9" s="139">
        <f t="shared" si="0"/>
        <v>27054094602</v>
      </c>
      <c r="I9" s="142">
        <f t="shared" si="1"/>
        <v>0.14647236622333137</v>
      </c>
      <c r="J9" s="143">
        <f t="shared" si="2"/>
        <v>3456408867</v>
      </c>
      <c r="K9" s="139"/>
      <c r="L9" s="142"/>
      <c r="M9" s="142"/>
      <c r="N9" s="142"/>
      <c r="O9" s="145">
        <v>0.25</v>
      </c>
      <c r="P9" s="137"/>
      <c r="Q9" s="137"/>
      <c r="R9" s="137"/>
      <c r="S9" s="137"/>
      <c r="T9" s="137"/>
      <c r="U9" s="137"/>
      <c r="V9" s="137"/>
    </row>
    <row r="10" spans="1:22" s="129" customFormat="1" ht="24.75" customHeight="1" x14ac:dyDescent="0.3">
      <c r="A10" s="138">
        <v>1999</v>
      </c>
      <c r="B10" s="139">
        <v>31317641763</v>
      </c>
      <c r="C10" s="140">
        <f t="shared" si="1"/>
        <v>0.15759341510858826</v>
      </c>
      <c r="D10" s="139"/>
      <c r="E10" s="140"/>
      <c r="F10" s="141"/>
      <c r="G10" s="142"/>
      <c r="H10" s="139">
        <f t="shared" si="0"/>
        <v>31317641763</v>
      </c>
      <c r="I10" s="142">
        <f t="shared" si="1"/>
        <v>0.15759341510858826</v>
      </c>
      <c r="J10" s="143">
        <f t="shared" si="2"/>
        <v>4263547161</v>
      </c>
      <c r="K10" s="139"/>
      <c r="L10" s="142"/>
      <c r="M10" s="142"/>
      <c r="N10" s="142"/>
      <c r="O10" s="145">
        <v>0.25</v>
      </c>
      <c r="P10" s="137"/>
      <c r="Q10" s="137"/>
      <c r="R10" s="137"/>
      <c r="S10" s="137"/>
      <c r="T10" s="137"/>
      <c r="U10" s="137"/>
      <c r="V10" s="137"/>
    </row>
    <row r="11" spans="1:22" s="129" customFormat="1" ht="24.75" customHeight="1" x14ac:dyDescent="0.3">
      <c r="A11" s="138">
        <v>2000</v>
      </c>
      <c r="B11" s="139">
        <v>36426606202</v>
      </c>
      <c r="C11" s="140">
        <f t="shared" si="1"/>
        <v>0.16313375309873912</v>
      </c>
      <c r="D11" s="139"/>
      <c r="E11" s="140"/>
      <c r="F11" s="141"/>
      <c r="G11" s="142"/>
      <c r="H11" s="139">
        <f t="shared" si="0"/>
        <v>36426606202</v>
      </c>
      <c r="I11" s="142">
        <f t="shared" si="1"/>
        <v>0.16313375309873912</v>
      </c>
      <c r="J11" s="143">
        <f t="shared" si="2"/>
        <v>5108964439</v>
      </c>
      <c r="K11" s="139"/>
      <c r="L11" s="142"/>
      <c r="M11" s="142"/>
      <c r="N11" s="142"/>
      <c r="O11" s="145">
        <v>0.25</v>
      </c>
      <c r="P11" s="137"/>
      <c r="Q11" s="137"/>
      <c r="R11" s="137"/>
      <c r="S11" s="137"/>
      <c r="T11" s="137"/>
      <c r="U11" s="137"/>
      <c r="V11" s="137"/>
    </row>
    <row r="12" spans="1:22" s="129" customFormat="1" ht="24.75" customHeight="1" x14ac:dyDescent="0.3">
      <c r="A12" s="138">
        <v>2001</v>
      </c>
      <c r="B12" s="139">
        <v>41839376927</v>
      </c>
      <c r="C12" s="140">
        <f t="shared" si="1"/>
        <v>0.14859387929207668</v>
      </c>
      <c r="D12" s="139"/>
      <c r="E12" s="140"/>
      <c r="F12" s="141"/>
      <c r="G12" s="142"/>
      <c r="H12" s="139">
        <f t="shared" si="0"/>
        <v>41839376927</v>
      </c>
      <c r="I12" s="142">
        <f t="shared" si="1"/>
        <v>0.14859387929207668</v>
      </c>
      <c r="J12" s="143">
        <f t="shared" si="2"/>
        <v>5412770725</v>
      </c>
      <c r="K12" s="139"/>
      <c r="L12" s="142"/>
      <c r="M12" s="142"/>
      <c r="N12" s="142"/>
      <c r="O12" s="145">
        <v>0.25</v>
      </c>
      <c r="P12" s="137"/>
      <c r="Q12" s="137"/>
      <c r="R12" s="137"/>
      <c r="S12" s="137"/>
      <c r="T12" s="137"/>
      <c r="U12" s="137"/>
      <c r="V12" s="137"/>
    </row>
    <row r="13" spans="1:22" s="129" customFormat="1" ht="24.75" customHeight="1" x14ac:dyDescent="0.3">
      <c r="A13" s="138">
        <v>2002</v>
      </c>
      <c r="B13" s="139">
        <v>46703323878</v>
      </c>
      <c r="C13" s="140">
        <f t="shared" si="1"/>
        <v>0.11625285337031799</v>
      </c>
      <c r="D13" s="139"/>
      <c r="E13" s="140"/>
      <c r="F13" s="141"/>
      <c r="G13" s="142"/>
      <c r="H13" s="139">
        <f t="shared" si="0"/>
        <v>46703323878</v>
      </c>
      <c r="I13" s="142">
        <f t="shared" si="1"/>
        <v>0.11625285337031799</v>
      </c>
      <c r="J13" s="143">
        <f t="shared" si="2"/>
        <v>4863946951</v>
      </c>
      <c r="K13" s="139"/>
      <c r="L13" s="142"/>
      <c r="M13" s="142"/>
      <c r="N13" s="142"/>
      <c r="O13" s="145">
        <v>0.25</v>
      </c>
      <c r="P13" s="137"/>
      <c r="Q13" s="137"/>
      <c r="R13" s="137"/>
      <c r="S13" s="137"/>
      <c r="T13" s="137"/>
      <c r="U13" s="137"/>
      <c r="V13" s="137"/>
    </row>
    <row r="14" spans="1:22" s="129" customFormat="1" ht="24.75" customHeight="1" x14ac:dyDescent="0.3">
      <c r="A14" s="138">
        <v>2003</v>
      </c>
      <c r="B14" s="139">
        <v>49168855273</v>
      </c>
      <c r="C14" s="140">
        <f t="shared" si="1"/>
        <v>5.279134738761937E-2</v>
      </c>
      <c r="D14" s="139"/>
      <c r="E14" s="140"/>
      <c r="F14" s="141"/>
      <c r="G14" s="142"/>
      <c r="H14" s="139">
        <f t="shared" si="0"/>
        <v>49168855273</v>
      </c>
      <c r="I14" s="142">
        <f t="shared" si="1"/>
        <v>5.279134738761937E-2</v>
      </c>
      <c r="J14" s="143">
        <f t="shared" si="2"/>
        <v>2465531395</v>
      </c>
      <c r="K14" s="139">
        <v>2065129980</v>
      </c>
      <c r="L14" s="142">
        <f t="shared" ref="L14:L22" si="3">K14/H13</f>
        <v>4.4218051490180918E-2</v>
      </c>
      <c r="M14" s="142">
        <f t="shared" ref="M14:M22" si="4">(J14-K14)/H13</f>
        <v>8.5732958974385227E-3</v>
      </c>
      <c r="N14" s="142">
        <f t="shared" ref="N14:N19" si="5">L14+M14</f>
        <v>5.2791347387619439E-2</v>
      </c>
      <c r="O14" s="145">
        <v>0.25</v>
      </c>
      <c r="P14" s="137"/>
      <c r="Q14" s="137"/>
      <c r="R14" s="137"/>
      <c r="S14" s="137"/>
      <c r="T14" s="137"/>
      <c r="U14" s="137"/>
      <c r="V14" s="137"/>
    </row>
    <row r="15" spans="1:22" s="129" customFormat="1" ht="24.75" customHeight="1" x14ac:dyDescent="0.3">
      <c r="A15" s="138">
        <v>2004</v>
      </c>
      <c r="B15" s="139">
        <v>52275021659</v>
      </c>
      <c r="C15" s="140">
        <f t="shared" si="1"/>
        <v>6.3173453373149391E-2</v>
      </c>
      <c r="D15" s="139"/>
      <c r="E15" s="140"/>
      <c r="F15" s="141"/>
      <c r="G15" s="142"/>
      <c r="H15" s="139">
        <f t="shared" si="0"/>
        <v>52275021659</v>
      </c>
      <c r="I15" s="142">
        <f t="shared" si="1"/>
        <v>6.3173453373149391E-2</v>
      </c>
      <c r="J15" s="143">
        <f t="shared" si="2"/>
        <v>3106166386</v>
      </c>
      <c r="K15" s="139">
        <v>1967614479</v>
      </c>
      <c r="L15" s="142">
        <f t="shared" si="3"/>
        <v>4.0017496199072022E-2</v>
      </c>
      <c r="M15" s="142">
        <f t="shared" si="4"/>
        <v>2.3155957174077445E-2</v>
      </c>
      <c r="N15" s="142">
        <f t="shared" si="5"/>
        <v>6.3173453373149474E-2</v>
      </c>
      <c r="O15" s="145">
        <v>0.25</v>
      </c>
      <c r="P15" s="137"/>
      <c r="Q15" s="137"/>
      <c r="R15" s="137"/>
      <c r="S15" s="137"/>
      <c r="T15" s="137"/>
      <c r="U15" s="137"/>
      <c r="V15" s="137"/>
    </row>
    <row r="16" spans="1:22" s="129" customFormat="1" ht="24.75" customHeight="1" x14ac:dyDescent="0.3">
      <c r="A16" s="138">
        <v>2005</v>
      </c>
      <c r="B16" s="139">
        <v>56240956250</v>
      </c>
      <c r="C16" s="140">
        <f t="shared" si="1"/>
        <v>7.5866723056961183E-2</v>
      </c>
      <c r="D16" s="139">
        <v>53828607474</v>
      </c>
      <c r="E16" s="140"/>
      <c r="F16" s="141">
        <v>5831153.3799999999</v>
      </c>
      <c r="G16" s="142"/>
      <c r="H16" s="139">
        <f t="shared" ref="H16:H54" si="6">((((D16/100)*O16)+F16)/O16)*100</f>
        <v>56161068826</v>
      </c>
      <c r="I16" s="142">
        <f t="shared" si="1"/>
        <v>7.4338508979478357E-2</v>
      </c>
      <c r="J16" s="143">
        <f t="shared" si="2"/>
        <v>3886047167</v>
      </c>
      <c r="K16" s="139">
        <v>2506978719</v>
      </c>
      <c r="L16" s="142">
        <f t="shared" si="3"/>
        <v>4.795748790605011E-2</v>
      </c>
      <c r="M16" s="142">
        <f t="shared" si="4"/>
        <v>2.6381021073428303E-2</v>
      </c>
      <c r="N16" s="142">
        <f t="shared" si="5"/>
        <v>7.4338508979478413E-2</v>
      </c>
      <c r="O16" s="145">
        <v>0.25</v>
      </c>
      <c r="P16" s="137"/>
      <c r="Q16" s="137"/>
      <c r="R16" s="137"/>
      <c r="S16" s="137"/>
      <c r="T16" s="137"/>
      <c r="U16" s="137"/>
      <c r="V16" s="137"/>
    </row>
    <row r="17" spans="1:22" s="129" customFormat="1" ht="24.75" customHeight="1" x14ac:dyDescent="0.3">
      <c r="A17" s="138">
        <v>2006</v>
      </c>
      <c r="B17" s="139">
        <v>61953733487</v>
      </c>
      <c r="C17" s="140">
        <f t="shared" si="1"/>
        <v>0.10157681550800435</v>
      </c>
      <c r="D17" s="139">
        <v>59121618232</v>
      </c>
      <c r="E17" s="140">
        <f t="shared" si="1"/>
        <v>9.8330813416575902E-2</v>
      </c>
      <c r="F17" s="141">
        <v>6653136.5300000003</v>
      </c>
      <c r="G17" s="142">
        <f t="shared" si="1"/>
        <v>0.14096407630423191</v>
      </c>
      <c r="H17" s="139">
        <f t="shared" si="6"/>
        <v>61837184162.612259</v>
      </c>
      <c r="I17" s="142">
        <f t="shared" si="1"/>
        <v>0.10106850626718278</v>
      </c>
      <c r="J17" s="143">
        <f t="shared" si="2"/>
        <v>5676115336.6122589</v>
      </c>
      <c r="K17" s="139">
        <v>3122049583</v>
      </c>
      <c r="L17" s="142">
        <f t="shared" si="3"/>
        <v>5.5590992982573618E-2</v>
      </c>
      <c r="M17" s="142">
        <f t="shared" si="4"/>
        <v>4.5477513284609063E-2</v>
      </c>
      <c r="N17" s="142">
        <f t="shared" si="5"/>
        <v>0.10106850626718268</v>
      </c>
      <c r="O17" s="145">
        <v>0.245</v>
      </c>
      <c r="P17" s="137"/>
      <c r="Q17" s="137"/>
      <c r="R17" s="137"/>
      <c r="S17" s="137"/>
      <c r="T17" s="137"/>
      <c r="U17" s="137"/>
      <c r="V17" s="137"/>
    </row>
    <row r="18" spans="1:22" s="129" customFormat="1" ht="24.75" customHeight="1" x14ac:dyDescent="0.3">
      <c r="A18" s="138">
        <v>2007</v>
      </c>
      <c r="B18" s="139">
        <v>68685147666</v>
      </c>
      <c r="C18" s="140">
        <f t="shared" si="1"/>
        <v>0.10865227646712339</v>
      </c>
      <c r="D18" s="139">
        <v>65358073791</v>
      </c>
      <c r="E18" s="140">
        <f t="shared" si="1"/>
        <v>0.10548519721715732</v>
      </c>
      <c r="F18" s="141">
        <v>7592178.8499999996</v>
      </c>
      <c r="G18" s="142">
        <f t="shared" si="1"/>
        <v>0.14114280020644632</v>
      </c>
      <c r="H18" s="139">
        <f t="shared" si="6"/>
        <v>68456922301.204071</v>
      </c>
      <c r="I18" s="142">
        <f t="shared" si="1"/>
        <v>0.10705109277265912</v>
      </c>
      <c r="J18" s="143">
        <f t="shared" si="2"/>
        <v>6619738138.5918121</v>
      </c>
      <c r="K18" s="139">
        <v>3259378711</v>
      </c>
      <c r="L18" s="142">
        <f t="shared" si="3"/>
        <v>5.2709041576486787E-2</v>
      </c>
      <c r="M18" s="142">
        <f t="shared" si="4"/>
        <v>5.4342051196172331E-2</v>
      </c>
      <c r="N18" s="142">
        <f t="shared" si="5"/>
        <v>0.10705109277265912</v>
      </c>
      <c r="O18" s="145">
        <v>0.245</v>
      </c>
      <c r="P18" s="137"/>
      <c r="Q18" s="137"/>
      <c r="R18" s="137"/>
      <c r="S18" s="137"/>
      <c r="T18" s="137"/>
      <c r="U18" s="137"/>
      <c r="V18" s="137"/>
    </row>
    <row r="19" spans="1:22" s="129" customFormat="1" ht="24.75" customHeight="1" x14ac:dyDescent="0.3">
      <c r="A19" s="138">
        <v>2008</v>
      </c>
      <c r="B19" s="139">
        <v>71866212346</v>
      </c>
      <c r="C19" s="140">
        <f>(B19/B18)-1</f>
        <v>4.6313719750138427E-2</v>
      </c>
      <c r="D19" s="139">
        <v>68176246755</v>
      </c>
      <c r="E19" s="140">
        <f>(D19/D18)-1</f>
        <v>4.3118972156551916E-2</v>
      </c>
      <c r="F19" s="141">
        <v>8715962.3800000008</v>
      </c>
      <c r="G19" s="142">
        <f>(F19/F18)-1</f>
        <v>0.14801857967294874</v>
      </c>
      <c r="H19" s="139">
        <f t="shared" si="6"/>
        <v>71770458045.721649</v>
      </c>
      <c r="I19" s="142">
        <f>(H19/H18)-1</f>
        <v>4.840322400031849E-2</v>
      </c>
      <c r="J19" s="143">
        <f t="shared" si="2"/>
        <v>3313535744.5175781</v>
      </c>
      <c r="K19" s="139">
        <v>2485140312</v>
      </c>
      <c r="L19" s="142">
        <f t="shared" si="3"/>
        <v>3.6302250064144198E-2</v>
      </c>
      <c r="M19" s="142">
        <f t="shared" si="4"/>
        <v>1.2100973936174278E-2</v>
      </c>
      <c r="N19" s="142">
        <f t="shared" si="5"/>
        <v>4.8403224000318476E-2</v>
      </c>
      <c r="O19" s="145">
        <v>0.24249999999999999</v>
      </c>
      <c r="P19" s="137"/>
      <c r="Q19" s="137"/>
      <c r="R19" s="137"/>
      <c r="S19" s="137"/>
      <c r="T19" s="137"/>
      <c r="U19" s="137"/>
      <c r="V19" s="137"/>
    </row>
    <row r="20" spans="1:22" s="129" customFormat="1" ht="24.75" customHeight="1" x14ac:dyDescent="0.3">
      <c r="A20" s="138">
        <v>2009</v>
      </c>
      <c r="B20" s="139">
        <v>72388951258</v>
      </c>
      <c r="C20" s="140">
        <f>(B20/B$19)-1</f>
        <v>7.2737785245071684E-3</v>
      </c>
      <c r="D20" s="139">
        <v>68246773462</v>
      </c>
      <c r="E20" s="140">
        <f>(D20/D$19)-1</f>
        <v>1.0344762341265579E-3</v>
      </c>
      <c r="F20" s="141">
        <v>9745219.6999999993</v>
      </c>
      <c r="G20" s="142">
        <f>(F20/F$19)-1</f>
        <v>0.11808877495407444</v>
      </c>
      <c r="H20" s="139">
        <f t="shared" si="6"/>
        <v>72265420760.969086</v>
      </c>
      <c r="I20" s="142">
        <f>(H20/H$19)-1</f>
        <v>6.8964686686563414E-3</v>
      </c>
      <c r="J20" s="143">
        <f t="shared" si="2"/>
        <v>494962715.24743652</v>
      </c>
      <c r="K20" s="139">
        <v>2197424291</v>
      </c>
      <c r="L20" s="142">
        <f t="shared" si="3"/>
        <v>3.0617392599056874E-2</v>
      </c>
      <c r="M20" s="142">
        <f t="shared" si="4"/>
        <v>-2.3720923930400498E-2</v>
      </c>
      <c r="N20" s="142">
        <f t="shared" ref="N20:N54" si="7">L20+M20</f>
        <v>6.8964686686563761E-3</v>
      </c>
      <c r="O20" s="145">
        <v>0.24249999999999999</v>
      </c>
      <c r="P20" s="137"/>
      <c r="Q20" s="137"/>
      <c r="R20" s="137"/>
      <c r="S20" s="137"/>
      <c r="T20" s="137"/>
      <c r="U20" s="137"/>
      <c r="V20" s="137"/>
    </row>
    <row r="21" spans="1:22" s="129" customFormat="1" ht="24.75" customHeight="1" x14ac:dyDescent="0.3">
      <c r="A21" s="138" t="s">
        <v>421</v>
      </c>
      <c r="B21" s="139">
        <v>71277687478</v>
      </c>
      <c r="C21" s="140">
        <f>(B21/B$20)-1</f>
        <v>-1.5351289950856772E-2</v>
      </c>
      <c r="D21" s="139">
        <v>66795058058</v>
      </c>
      <c r="E21" s="140">
        <f>(D21/D$20)-1</f>
        <v>-2.1271560989008842E-2</v>
      </c>
      <c r="F21" s="141">
        <v>10598724.289999999</v>
      </c>
      <c r="G21" s="142">
        <f>(F21/F$20)-1</f>
        <v>8.7581872576972364E-2</v>
      </c>
      <c r="H21" s="139">
        <f t="shared" si="6"/>
        <v>71211193178.833328</v>
      </c>
      <c r="I21" s="142">
        <f>(H21/H$20)-1</f>
        <v>-1.458827155553144E-2</v>
      </c>
      <c r="J21" s="143">
        <f t="shared" si="2"/>
        <v>-1054227582.1357574</v>
      </c>
      <c r="K21" s="139">
        <v>1342126272</v>
      </c>
      <c r="L21" s="142">
        <f t="shared" si="3"/>
        <v>1.8572178199021697E-2</v>
      </c>
      <c r="M21" s="142">
        <f t="shared" si="4"/>
        <v>-3.3160449754553151E-2</v>
      </c>
      <c r="N21" s="142">
        <f t="shared" si="7"/>
        <v>-1.4588271555531454E-2</v>
      </c>
      <c r="O21" s="145">
        <v>0.24</v>
      </c>
      <c r="P21" s="137"/>
      <c r="Q21" s="137"/>
      <c r="R21" s="137"/>
      <c r="S21" s="137"/>
      <c r="T21" s="137"/>
      <c r="U21" s="137"/>
      <c r="V21" s="137"/>
    </row>
    <row r="22" spans="1:22" s="136" customFormat="1" ht="24.75" customHeight="1" x14ac:dyDescent="0.3">
      <c r="A22" s="146" t="s">
        <v>422</v>
      </c>
      <c r="B22" s="147">
        <v>71035789428</v>
      </c>
      <c r="C22" s="142">
        <f t="shared" ref="C22:C54" si="8">(B22/B20)-1</f>
        <v>-1.8692933196078787E-2</v>
      </c>
      <c r="D22" s="147">
        <v>66553160008</v>
      </c>
      <c r="E22" s="142">
        <f t="shared" ref="E22:E54" si="9">(D22/D20)-1</f>
        <v>-2.4816022327312059E-2</v>
      </c>
      <c r="F22" s="148">
        <f>F21</f>
        <v>10598724.289999999</v>
      </c>
      <c r="G22" s="142">
        <f t="shared" ref="G22:G54" si="10">(F22/F20)-1</f>
        <v>8.7581872576972364E-2</v>
      </c>
      <c r="H22" s="147">
        <f t="shared" si="6"/>
        <v>70969295128.833328</v>
      </c>
      <c r="I22" s="142">
        <f t="shared" ref="I22:I54" si="11">(H22/H20)-1</f>
        <v>-1.7935627005105648E-2</v>
      </c>
      <c r="J22" s="143">
        <f t="shared" ref="J22:J54" si="12">H22-H20</f>
        <v>-1296125632.1357574</v>
      </c>
      <c r="K22" s="147">
        <f>K21</f>
        <v>1342126272</v>
      </c>
      <c r="L22" s="142">
        <f t="shared" si="3"/>
        <v>1.8847125179176621E-2</v>
      </c>
      <c r="M22" s="142">
        <f t="shared" si="4"/>
        <v>-3.704827550790072E-2</v>
      </c>
      <c r="N22" s="142">
        <f t="shared" si="7"/>
        <v>-1.8201150328724099E-2</v>
      </c>
      <c r="O22" s="145">
        <v>0.24</v>
      </c>
      <c r="P22" s="137"/>
      <c r="Q22" s="137"/>
      <c r="R22" s="137"/>
      <c r="S22" s="137"/>
      <c r="T22" s="137"/>
      <c r="U22" s="137"/>
      <c r="V22" s="137"/>
    </row>
    <row r="23" spans="1:22" s="129" customFormat="1" ht="24.75" customHeight="1" x14ac:dyDescent="0.3">
      <c r="A23" s="138" t="s">
        <v>423</v>
      </c>
      <c r="B23" s="139">
        <v>72462518559</v>
      </c>
      <c r="C23" s="140">
        <f t="shared" si="8"/>
        <v>1.6622748617731276E-2</v>
      </c>
      <c r="D23" s="139">
        <v>67570046286</v>
      </c>
      <c r="E23" s="140">
        <f t="shared" si="9"/>
        <v>1.1602478544551209E-2</v>
      </c>
      <c r="F23" s="141">
        <v>11491331.41</v>
      </c>
      <c r="G23" s="142">
        <f t="shared" si="10"/>
        <v>8.4218354546894414E-2</v>
      </c>
      <c r="H23" s="139">
        <f t="shared" si="6"/>
        <v>72358101040.166656</v>
      </c>
      <c r="I23" s="142">
        <f t="shared" si="11"/>
        <v>1.610572453761705E-2</v>
      </c>
      <c r="J23" s="143">
        <f t="shared" si="12"/>
        <v>1146907861.3333282</v>
      </c>
      <c r="K23" s="139">
        <v>1213304622</v>
      </c>
      <c r="L23" s="142">
        <f t="shared" ref="L23:L54" si="13">K23/H21</f>
        <v>1.7038116731916242E-2</v>
      </c>
      <c r="M23" s="142">
        <f t="shared" ref="M23:M54" si="14">(J23-K23)/H21</f>
        <v>-9.3239219429913146E-4</v>
      </c>
      <c r="N23" s="142">
        <f t="shared" si="7"/>
        <v>1.6105724537617109E-2</v>
      </c>
      <c r="O23" s="145">
        <v>0.24</v>
      </c>
      <c r="P23" s="137"/>
      <c r="Q23" s="137"/>
      <c r="R23" s="137"/>
      <c r="S23" s="137"/>
      <c r="T23" s="137"/>
      <c r="U23" s="137"/>
      <c r="V23" s="137"/>
    </row>
    <row r="24" spans="1:22" s="136" customFormat="1" ht="24.75" customHeight="1" x14ac:dyDescent="0.3">
      <c r="A24" s="146" t="s">
        <v>424</v>
      </c>
      <c r="B24" s="147">
        <v>72135197087</v>
      </c>
      <c r="C24" s="142">
        <f t="shared" si="8"/>
        <v>1.5476813418316748E-2</v>
      </c>
      <c r="D24" s="147">
        <v>67242724814</v>
      </c>
      <c r="E24" s="142">
        <f t="shared" si="9"/>
        <v>1.0361112919613502E-2</v>
      </c>
      <c r="F24" s="148">
        <f>F23</f>
        <v>11491331.41</v>
      </c>
      <c r="G24" s="142">
        <f t="shared" si="10"/>
        <v>8.4218354546894414E-2</v>
      </c>
      <c r="H24" s="147">
        <f t="shared" si="6"/>
        <v>72030779568.166656</v>
      </c>
      <c r="I24" s="142">
        <f t="shared" si="11"/>
        <v>1.4956953389580363E-2</v>
      </c>
      <c r="J24" s="143">
        <f t="shared" si="12"/>
        <v>1061484439.3333282</v>
      </c>
      <c r="K24" s="147">
        <v>1213304622</v>
      </c>
      <c r="L24" s="142">
        <f t="shared" si="13"/>
        <v>1.7096190962548535E-2</v>
      </c>
      <c r="M24" s="142">
        <f t="shared" si="14"/>
        <v>-2.1392375729682345E-3</v>
      </c>
      <c r="N24" s="142">
        <f t="shared" si="7"/>
        <v>1.4956953389580301E-2</v>
      </c>
      <c r="O24" s="145">
        <v>0.24</v>
      </c>
      <c r="P24" s="137"/>
      <c r="Q24" s="137"/>
      <c r="R24" s="137"/>
      <c r="S24" s="137"/>
      <c r="T24" s="137"/>
      <c r="U24" s="137"/>
      <c r="V24" s="137"/>
    </row>
    <row r="25" spans="1:22" s="129" customFormat="1" ht="24.75" customHeight="1" x14ac:dyDescent="0.3">
      <c r="A25" s="138" t="s">
        <v>425</v>
      </c>
      <c r="B25" s="139">
        <v>74630300190</v>
      </c>
      <c r="C25" s="140">
        <f t="shared" si="8"/>
        <v>2.9915902374204162E-2</v>
      </c>
      <c r="D25" s="139">
        <v>69300274160</v>
      </c>
      <c r="E25" s="140">
        <f t="shared" si="9"/>
        <v>2.5606433162359554E-2</v>
      </c>
      <c r="F25" s="141">
        <v>12540576.85</v>
      </c>
      <c r="G25" s="142">
        <f t="shared" si="10"/>
        <v>9.1307560678906441E-2</v>
      </c>
      <c r="H25" s="139">
        <f t="shared" si="6"/>
        <v>74525514514.166672</v>
      </c>
      <c r="I25" s="142">
        <f t="shared" si="11"/>
        <v>2.9953985011254902E-2</v>
      </c>
      <c r="J25" s="143">
        <f t="shared" si="12"/>
        <v>2167413474.0000153</v>
      </c>
      <c r="K25" s="139">
        <v>1243705005</v>
      </c>
      <c r="L25" s="142">
        <f t="shared" si="13"/>
        <v>1.7188192989056026E-2</v>
      </c>
      <c r="M25" s="142">
        <f t="shared" si="14"/>
        <v>1.2765792022198815E-2</v>
      </c>
      <c r="N25" s="142">
        <f t="shared" si="7"/>
        <v>2.995398501125484E-2</v>
      </c>
      <c r="O25" s="145">
        <v>0.24</v>
      </c>
      <c r="P25" s="137"/>
      <c r="Q25" s="137"/>
      <c r="R25" s="137"/>
      <c r="S25" s="137"/>
      <c r="T25" s="137"/>
      <c r="U25" s="137"/>
      <c r="V25" s="137"/>
    </row>
    <row r="26" spans="1:22" s="136" customFormat="1" ht="24.75" customHeight="1" x14ac:dyDescent="0.3">
      <c r="A26" s="146" t="s">
        <v>426</v>
      </c>
      <c r="B26" s="147">
        <v>74630300190</v>
      </c>
      <c r="C26" s="142">
        <f t="shared" si="8"/>
        <v>3.4589260219123563E-2</v>
      </c>
      <c r="D26" s="147">
        <v>69126108988</v>
      </c>
      <c r="E26" s="142">
        <f t="shared" si="9"/>
        <v>2.8008742644050066E-2</v>
      </c>
      <c r="F26" s="148">
        <f>F25</f>
        <v>12540576.85</v>
      </c>
      <c r="G26" s="142">
        <f t="shared" si="10"/>
        <v>9.1307560678906441E-2</v>
      </c>
      <c r="H26" s="147">
        <f t="shared" si="6"/>
        <v>74351349342.166656</v>
      </c>
      <c r="I26" s="142">
        <f t="shared" si="11"/>
        <v>3.2216363447849616E-2</v>
      </c>
      <c r="J26" s="143">
        <f t="shared" si="12"/>
        <v>2320569774</v>
      </c>
      <c r="K26" s="147">
        <v>1243705005</v>
      </c>
      <c r="L26" s="142">
        <f t="shared" si="13"/>
        <v>1.7266299385570498E-2</v>
      </c>
      <c r="M26" s="142">
        <f t="shared" si="14"/>
        <v>1.4950064062279155E-2</v>
      </c>
      <c r="N26" s="142">
        <f t="shared" si="7"/>
        <v>3.2216363447849651E-2</v>
      </c>
      <c r="O26" s="145">
        <v>0.24</v>
      </c>
      <c r="P26" s="137"/>
      <c r="Q26" s="137"/>
      <c r="R26" s="137"/>
      <c r="S26" s="137"/>
      <c r="T26" s="137"/>
      <c r="U26" s="137"/>
      <c r="V26" s="137"/>
    </row>
    <row r="27" spans="1:22" s="129" customFormat="1" ht="24.75" customHeight="1" x14ac:dyDescent="0.3">
      <c r="A27" s="138" t="s">
        <v>427</v>
      </c>
      <c r="B27" s="139">
        <v>79238767392</v>
      </c>
      <c r="C27" s="140">
        <f t="shared" si="8"/>
        <v>6.1750618586115635E-2</v>
      </c>
      <c r="D27" s="139">
        <v>73246500936</v>
      </c>
      <c r="E27" s="140">
        <f t="shared" si="9"/>
        <v>5.6943884044224458E-2</v>
      </c>
      <c r="F27" s="141">
        <v>13946948.52</v>
      </c>
      <c r="G27" s="142">
        <f t="shared" si="10"/>
        <v>0.11214569208592673</v>
      </c>
      <c r="H27" s="139">
        <f t="shared" si="6"/>
        <v>79118900312.842102</v>
      </c>
      <c r="I27" s="142">
        <f t="shared" si="11"/>
        <v>6.1635076639454445E-2</v>
      </c>
      <c r="J27" s="143">
        <f t="shared" si="12"/>
        <v>4593385798.6754303</v>
      </c>
      <c r="K27" s="139">
        <v>1649693824</v>
      </c>
      <c r="L27" s="142">
        <f t="shared" si="13"/>
        <v>2.213596021113557E-2</v>
      </c>
      <c r="M27" s="142">
        <f t="shared" si="14"/>
        <v>3.9499116428318777E-2</v>
      </c>
      <c r="N27" s="142">
        <f t="shared" si="7"/>
        <v>6.1635076639454348E-2</v>
      </c>
      <c r="O27" s="145">
        <v>0.23749999999999999</v>
      </c>
      <c r="P27" s="137"/>
      <c r="Q27" s="137"/>
      <c r="R27" s="137"/>
      <c r="S27" s="137"/>
      <c r="T27" s="137"/>
      <c r="U27" s="137"/>
      <c r="V27" s="137"/>
    </row>
    <row r="28" spans="1:22" s="136" customFormat="1" ht="24.75" customHeight="1" x14ac:dyDescent="0.3">
      <c r="A28" s="146" t="s">
        <v>428</v>
      </c>
      <c r="B28" s="147">
        <v>79129660106.449997</v>
      </c>
      <c r="C28" s="142">
        <f t="shared" si="8"/>
        <v>6.0288648243342902E-2</v>
      </c>
      <c r="D28" s="147">
        <v>73137393650.449997</v>
      </c>
      <c r="E28" s="142">
        <f t="shared" si="9"/>
        <v>5.8028503573755996E-2</v>
      </c>
      <c r="F28" s="148">
        <f>F27</f>
        <v>13946948.52</v>
      </c>
      <c r="G28" s="142">
        <f t="shared" si="10"/>
        <v>0.11214569208592673</v>
      </c>
      <c r="H28" s="147">
        <f t="shared" si="6"/>
        <v>79009793027.292114</v>
      </c>
      <c r="I28" s="142">
        <f t="shared" si="11"/>
        <v>6.2654460562473258E-2</v>
      </c>
      <c r="J28" s="143">
        <f t="shared" si="12"/>
        <v>4658443685.1254578</v>
      </c>
      <c r="K28" s="147">
        <v>1649693824</v>
      </c>
      <c r="L28" s="142">
        <f t="shared" si="13"/>
        <v>2.2187812845306548E-2</v>
      </c>
      <c r="M28" s="142">
        <f t="shared" si="14"/>
        <v>4.0466647717166779E-2</v>
      </c>
      <c r="N28" s="142">
        <f t="shared" si="7"/>
        <v>6.2654460562473327E-2</v>
      </c>
      <c r="O28" s="145">
        <v>0.23749999999999999</v>
      </c>
      <c r="P28" s="149"/>
      <c r="Q28" s="149"/>
      <c r="R28" s="149"/>
      <c r="S28" s="137"/>
      <c r="T28" s="137"/>
      <c r="U28" s="137"/>
      <c r="V28" s="137"/>
    </row>
    <row r="29" spans="1:22" s="129" customFormat="1" ht="24.75" customHeight="1" x14ac:dyDescent="0.3">
      <c r="A29" s="150" t="s">
        <v>429</v>
      </c>
      <c r="B29" s="151">
        <v>86871450852</v>
      </c>
      <c r="C29" s="152">
        <f t="shared" si="8"/>
        <v>9.6325115990769428E-2</v>
      </c>
      <c r="D29" s="151">
        <v>79917869549</v>
      </c>
      <c r="E29" s="152">
        <f t="shared" si="9"/>
        <v>9.1081055446309733E-2</v>
      </c>
      <c r="F29" s="153">
        <v>15435480.539999999</v>
      </c>
      <c r="G29" s="154">
        <f t="shared" si="10"/>
        <v>0.10672815045279882</v>
      </c>
      <c r="H29" s="151">
        <f t="shared" si="6"/>
        <v>86486159140.489365</v>
      </c>
      <c r="I29" s="154">
        <f t="shared" si="11"/>
        <v>9.3116294570785962E-2</v>
      </c>
      <c r="J29" s="155">
        <f t="shared" si="12"/>
        <v>7367258827.6472626</v>
      </c>
      <c r="K29" s="151">
        <v>2387251108</v>
      </c>
      <c r="L29" s="154">
        <f t="shared" si="13"/>
        <v>3.017295612755775E-2</v>
      </c>
      <c r="M29" s="154">
        <f t="shared" si="14"/>
        <v>6.2943338443228303E-2</v>
      </c>
      <c r="N29" s="154">
        <f t="shared" si="7"/>
        <v>9.3116294570786046E-2</v>
      </c>
      <c r="O29" s="156">
        <v>0.23499999999999999</v>
      </c>
      <c r="P29" s="137"/>
      <c r="Q29" s="137"/>
      <c r="R29" s="137"/>
      <c r="S29" s="137"/>
      <c r="T29" s="137"/>
      <c r="U29" s="137"/>
      <c r="V29" s="137"/>
    </row>
    <row r="30" spans="1:22" s="136" customFormat="1" ht="24.75" customHeight="1" x14ac:dyDescent="0.3">
      <c r="A30" s="146" t="s">
        <v>430</v>
      </c>
      <c r="B30" s="147">
        <f>P30+Q30-R30</f>
        <v>86643038028</v>
      </c>
      <c r="C30" s="142">
        <f t="shared" si="8"/>
        <v>9.4950210975790261E-2</v>
      </c>
      <c r="D30" s="147">
        <f>B30-S30-T30-U30-V30</f>
        <v>79691360866</v>
      </c>
      <c r="E30" s="142">
        <f t="shared" si="9"/>
        <v>8.9611714178300828E-2</v>
      </c>
      <c r="F30" s="148">
        <f>F29</f>
        <v>15435480.539999999</v>
      </c>
      <c r="G30" s="142">
        <f t="shared" si="10"/>
        <v>0.10672815045279882</v>
      </c>
      <c r="H30" s="147">
        <f t="shared" si="6"/>
        <v>86259650457.489365</v>
      </c>
      <c r="I30" s="142">
        <f t="shared" si="11"/>
        <v>9.1758972557907548E-2</v>
      </c>
      <c r="J30" s="143">
        <f t="shared" si="12"/>
        <v>7249857430.1972504</v>
      </c>
      <c r="K30" s="147">
        <v>2387251108</v>
      </c>
      <c r="L30" s="142">
        <f t="shared" si="13"/>
        <v>3.0214622979399263E-2</v>
      </c>
      <c r="M30" s="142">
        <f t="shared" si="14"/>
        <v>6.154434957850826E-2</v>
      </c>
      <c r="N30" s="142">
        <f t="shared" si="7"/>
        <v>9.175897255790752E-2</v>
      </c>
      <c r="O30" s="145">
        <v>0.23499999999999999</v>
      </c>
      <c r="P30" s="157">
        <f>85737747142</f>
        <v>85737747142</v>
      </c>
      <c r="Q30" s="158">
        <v>1022351491</v>
      </c>
      <c r="R30" s="159">
        <v>117060605</v>
      </c>
      <c r="S30" s="157">
        <v>6875016182</v>
      </c>
      <c r="T30" s="157">
        <v>76660980</v>
      </c>
      <c r="U30" s="159"/>
      <c r="V30" s="159"/>
    </row>
    <row r="31" spans="1:22" s="129" customFormat="1" ht="24.75" customHeight="1" x14ac:dyDescent="0.3">
      <c r="A31" s="138" t="s">
        <v>431</v>
      </c>
      <c r="B31" s="139">
        <v>96807570324</v>
      </c>
      <c r="C31" s="140">
        <f t="shared" si="8"/>
        <v>0.11437727095093453</v>
      </c>
      <c r="D31" s="139">
        <v>88662442875</v>
      </c>
      <c r="E31" s="140">
        <f t="shared" si="9"/>
        <v>0.10941949998602563</v>
      </c>
      <c r="F31" s="141">
        <v>16953691.289999999</v>
      </c>
      <c r="G31" s="142">
        <f t="shared" si="10"/>
        <v>9.8358502416925786E-2</v>
      </c>
      <c r="H31" s="139">
        <f t="shared" si="6"/>
        <v>96197416781.666656</v>
      </c>
      <c r="I31" s="142">
        <f t="shared" si="11"/>
        <v>0.1122868414748559</v>
      </c>
      <c r="J31" s="143">
        <f t="shared" si="12"/>
        <v>9711257641.1772919</v>
      </c>
      <c r="K31" s="139">
        <v>2761145041</v>
      </c>
      <c r="L31" s="142">
        <f t="shared" si="13"/>
        <v>3.1925860373967538E-2</v>
      </c>
      <c r="M31" s="142">
        <f t="shared" si="14"/>
        <v>8.0360981100888393E-2</v>
      </c>
      <c r="N31" s="142">
        <f t="shared" si="7"/>
        <v>0.11228684147485593</v>
      </c>
      <c r="O31" s="145">
        <v>0.22500000000000001</v>
      </c>
      <c r="P31" s="160"/>
      <c r="Q31" s="160"/>
      <c r="R31" s="160"/>
      <c r="S31" s="160"/>
      <c r="T31" s="160"/>
      <c r="U31" s="160"/>
      <c r="V31" s="160"/>
    </row>
    <row r="32" spans="1:22" s="136" customFormat="1" ht="24.75" customHeight="1" x14ac:dyDescent="0.3">
      <c r="A32" s="146" t="s">
        <v>432</v>
      </c>
      <c r="B32" s="147">
        <f>P32+Q32-R32</f>
        <v>96433393919</v>
      </c>
      <c r="C32" s="142">
        <f t="shared" si="8"/>
        <v>0.11299645203849029</v>
      </c>
      <c r="D32" s="147">
        <f>B32-S32-T32-U32-V32</f>
        <v>88288266470</v>
      </c>
      <c r="E32" s="142">
        <f t="shared" si="9"/>
        <v>0.10787751031702908</v>
      </c>
      <c r="F32" s="148">
        <f>F31</f>
        <v>16953691.289999999</v>
      </c>
      <c r="G32" s="142">
        <f t="shared" si="10"/>
        <v>9.8358502416925786E-2</v>
      </c>
      <c r="H32" s="147">
        <f t="shared" si="6"/>
        <v>95823240376.666672</v>
      </c>
      <c r="I32" s="142">
        <f t="shared" si="11"/>
        <v>0.11086979681062403</v>
      </c>
      <c r="J32" s="143">
        <f t="shared" si="12"/>
        <v>9563589919.1773071</v>
      </c>
      <c r="K32" s="147">
        <v>2761145041</v>
      </c>
      <c r="L32" s="142">
        <f t="shared" si="13"/>
        <v>3.2009694293402599E-2</v>
      </c>
      <c r="M32" s="142">
        <f t="shared" si="14"/>
        <v>7.8860102517221545E-2</v>
      </c>
      <c r="N32" s="142">
        <f t="shared" si="7"/>
        <v>0.11086979681062414</v>
      </c>
      <c r="O32" s="145">
        <v>0.22500000000000001</v>
      </c>
      <c r="P32" s="157">
        <f>94921580405</f>
        <v>94921580405</v>
      </c>
      <c r="Q32" s="158">
        <v>1616347394</v>
      </c>
      <c r="R32" s="159">
        <v>104533880</v>
      </c>
      <c r="S32" s="157">
        <v>7998489776</v>
      </c>
      <c r="T32" s="157">
        <v>3599723</v>
      </c>
      <c r="U32" s="159">
        <v>142997530</v>
      </c>
      <c r="V32" s="159">
        <v>40420</v>
      </c>
    </row>
    <row r="33" spans="1:22" s="129" customFormat="1" ht="24.75" customHeight="1" x14ac:dyDescent="0.3">
      <c r="A33" s="138" t="s">
        <v>433</v>
      </c>
      <c r="B33" s="139">
        <v>109041422918</v>
      </c>
      <c r="C33" s="142">
        <f t="shared" si="8"/>
        <v>0.12637289163497423</v>
      </c>
      <c r="D33" s="139">
        <v>99392878611</v>
      </c>
      <c r="E33" s="142">
        <f t="shared" si="9"/>
        <v>0.12102571718137978</v>
      </c>
      <c r="F33" s="141">
        <v>18580393.640000001</v>
      </c>
      <c r="G33" s="142">
        <f t="shared" si="10"/>
        <v>9.5949744641127044E-2</v>
      </c>
      <c r="H33" s="139">
        <f t="shared" si="6"/>
        <v>108308828437.05151</v>
      </c>
      <c r="I33" s="142">
        <f t="shared" si="11"/>
        <v>0.12590163083976957</v>
      </c>
      <c r="J33" s="143">
        <f t="shared" si="12"/>
        <v>12111411655.384857</v>
      </c>
      <c r="K33" s="139">
        <v>3362516295</v>
      </c>
      <c r="L33" s="142">
        <f t="shared" si="13"/>
        <v>3.4954330453921607E-2</v>
      </c>
      <c r="M33" s="142">
        <f t="shared" si="14"/>
        <v>9.0947300385848043E-2</v>
      </c>
      <c r="N33" s="142">
        <f t="shared" si="7"/>
        <v>0.12590163083976966</v>
      </c>
      <c r="O33" s="145">
        <v>0.208395</v>
      </c>
      <c r="P33" s="161"/>
      <c r="Q33" s="161"/>
      <c r="R33" s="161"/>
      <c r="S33" s="161"/>
      <c r="T33" s="161"/>
      <c r="U33" s="161"/>
      <c r="V33" s="161"/>
    </row>
    <row r="34" spans="1:22" s="136" customFormat="1" ht="24.75" customHeight="1" x14ac:dyDescent="0.3">
      <c r="A34" s="146" t="s">
        <v>434</v>
      </c>
      <c r="B34" s="147">
        <f>P34+Q34-R34</f>
        <v>108335041054</v>
      </c>
      <c r="C34" s="142">
        <f t="shared" si="8"/>
        <v>0.12341831653251667</v>
      </c>
      <c r="D34" s="147">
        <f>B34-S34-T34-U34-V34</f>
        <v>98686496705</v>
      </c>
      <c r="E34" s="142">
        <f t="shared" si="9"/>
        <v>0.11777590217532796</v>
      </c>
      <c r="F34" s="148">
        <f>F33</f>
        <v>18580393.640000001</v>
      </c>
      <c r="G34" s="142">
        <f t="shared" si="10"/>
        <v>9.5949744641127044E-2</v>
      </c>
      <c r="H34" s="147">
        <f t="shared" si="6"/>
        <v>107602446531.0515</v>
      </c>
      <c r="I34" s="142">
        <f t="shared" si="11"/>
        <v>0.12292640186329074</v>
      </c>
      <c r="J34" s="143">
        <f t="shared" si="12"/>
        <v>11779206154.384827</v>
      </c>
      <c r="K34" s="147">
        <v>3362516295</v>
      </c>
      <c r="L34" s="142">
        <f t="shared" si="13"/>
        <v>3.509082224502591E-2</v>
      </c>
      <c r="M34" s="142">
        <f t="shared" si="14"/>
        <v>8.7835579618264742E-2</v>
      </c>
      <c r="N34" s="142">
        <f t="shared" si="7"/>
        <v>0.12292640186329065</v>
      </c>
      <c r="O34" s="145">
        <v>0.208395</v>
      </c>
      <c r="P34" s="157">
        <f>106294698244</f>
        <v>106294698244</v>
      </c>
      <c r="Q34" s="158">
        <v>2171295352</v>
      </c>
      <c r="R34" s="159">
        <v>130952542</v>
      </c>
      <c r="S34" s="157">
        <v>9499554638</v>
      </c>
      <c r="T34" s="157">
        <v>3545667</v>
      </c>
      <c r="U34" s="159">
        <v>145444044</v>
      </c>
      <c r="V34" s="159">
        <v>0</v>
      </c>
    </row>
    <row r="35" spans="1:22" s="129" customFormat="1" ht="24.75" customHeight="1" x14ac:dyDescent="0.3">
      <c r="A35" s="138" t="s">
        <v>435</v>
      </c>
      <c r="B35" s="139">
        <v>124035906716</v>
      </c>
      <c r="C35" s="142">
        <f t="shared" si="8"/>
        <v>0.13751181337092389</v>
      </c>
      <c r="D35" s="139">
        <v>112795863390</v>
      </c>
      <c r="E35" s="142">
        <f t="shared" si="9"/>
        <v>0.13484854213203823</v>
      </c>
      <c r="F35" s="141">
        <v>19976153.100000001</v>
      </c>
      <c r="G35" s="142">
        <f t="shared" si="10"/>
        <v>7.5120015595105505E-2</v>
      </c>
      <c r="H35" s="139">
        <f t="shared" si="6"/>
        <v>123186796413.31389</v>
      </c>
      <c r="I35" s="142">
        <f t="shared" si="11"/>
        <v>0.13736616110578059</v>
      </c>
      <c r="J35" s="143">
        <f t="shared" si="12"/>
        <v>14877967976.262375</v>
      </c>
      <c r="K35" s="139">
        <v>4949425277</v>
      </c>
      <c r="L35" s="142">
        <f t="shared" si="13"/>
        <v>4.5697339251311156E-2</v>
      </c>
      <c r="M35" s="142">
        <f t="shared" si="14"/>
        <v>9.1668821854469493E-2</v>
      </c>
      <c r="N35" s="142">
        <f t="shared" si="7"/>
        <v>0.13736616110578065</v>
      </c>
      <c r="O35" s="145">
        <v>0.192246</v>
      </c>
      <c r="P35" s="161"/>
      <c r="Q35" s="161"/>
      <c r="R35" s="161"/>
      <c r="S35" s="161"/>
      <c r="T35" s="161"/>
      <c r="U35" s="161"/>
      <c r="V35" s="161"/>
    </row>
    <row r="36" spans="1:22" s="136" customFormat="1" ht="24.75" customHeight="1" x14ac:dyDescent="0.3">
      <c r="A36" s="146" t="s">
        <v>436</v>
      </c>
      <c r="B36" s="147">
        <f>P36+Q36-R36</f>
        <v>123661812153</v>
      </c>
      <c r="C36" s="142">
        <f t="shared" si="8"/>
        <v>0.14147565690550956</v>
      </c>
      <c r="D36" s="147">
        <f>B36-S36-T36-U36-V36</f>
        <v>112421768827</v>
      </c>
      <c r="E36" s="142">
        <f t="shared" si="9"/>
        <v>0.13918086648732042</v>
      </c>
      <c r="F36" s="148">
        <f>F35</f>
        <v>19976153.100000001</v>
      </c>
      <c r="G36" s="142">
        <f t="shared" si="10"/>
        <v>7.5120015595105505E-2</v>
      </c>
      <c r="H36" s="147">
        <f t="shared" si="6"/>
        <v>122812701850.31387</v>
      </c>
      <c r="I36" s="142">
        <f t="shared" si="11"/>
        <v>0.1413560361276085</v>
      </c>
      <c r="J36" s="143">
        <f t="shared" si="12"/>
        <v>15210255319.262375</v>
      </c>
      <c r="K36" s="147">
        <v>4949425277</v>
      </c>
      <c r="L36" s="142">
        <f t="shared" si="13"/>
        <v>4.5997330326236721E-2</v>
      </c>
      <c r="M36" s="142">
        <f t="shared" si="14"/>
        <v>9.5358705801371763E-2</v>
      </c>
      <c r="N36" s="142">
        <f t="shared" si="7"/>
        <v>0.1413560361276085</v>
      </c>
      <c r="O36" s="145">
        <v>0.192246</v>
      </c>
      <c r="P36" s="157">
        <f>121690457635</f>
        <v>121690457635</v>
      </c>
      <c r="Q36" s="158">
        <v>2097652264</v>
      </c>
      <c r="R36" s="159">
        <v>126297746</v>
      </c>
      <c r="S36" s="157">
        <v>11112716927</v>
      </c>
      <c r="T36" s="157">
        <v>5826979</v>
      </c>
      <c r="U36" s="159">
        <v>121363333</v>
      </c>
      <c r="V36" s="159">
        <v>136087</v>
      </c>
    </row>
    <row r="37" spans="1:22" s="129" customFormat="1" ht="24.75" customHeight="1" x14ac:dyDescent="0.3">
      <c r="A37" s="138" t="s">
        <v>437</v>
      </c>
      <c r="B37" s="139">
        <v>138427326503</v>
      </c>
      <c r="C37" s="142">
        <f t="shared" si="8"/>
        <v>0.11602623924015365</v>
      </c>
      <c r="D37" s="139">
        <v>125567304097</v>
      </c>
      <c r="E37" s="142">
        <f t="shared" si="9"/>
        <v>0.1132261443209297</v>
      </c>
      <c r="F37" s="141">
        <v>21340640.460000001</v>
      </c>
      <c r="G37" s="142">
        <f t="shared" si="10"/>
        <v>6.8305812093520712E-2</v>
      </c>
      <c r="H37" s="139">
        <f t="shared" si="6"/>
        <v>137371735028.76978</v>
      </c>
      <c r="I37" s="142">
        <f t="shared" si="11"/>
        <v>0.11514982959588349</v>
      </c>
      <c r="J37" s="143">
        <f t="shared" si="12"/>
        <v>14184938615.455887</v>
      </c>
      <c r="K37" s="139">
        <v>5515697476</v>
      </c>
      <c r="L37" s="142">
        <f t="shared" si="13"/>
        <v>4.4775070353269365E-2</v>
      </c>
      <c r="M37" s="142">
        <f t="shared" si="14"/>
        <v>7.0374759242614132E-2</v>
      </c>
      <c r="N37" s="142">
        <f t="shared" si="7"/>
        <v>0.11514982959588349</v>
      </c>
      <c r="O37" s="145">
        <v>0.180785</v>
      </c>
      <c r="P37" s="161"/>
      <c r="Q37" s="161"/>
      <c r="R37" s="161"/>
      <c r="S37" s="161"/>
      <c r="T37" s="161"/>
      <c r="U37" s="161"/>
      <c r="V37" s="161"/>
    </row>
    <row r="38" spans="1:22" s="136" customFormat="1" ht="24.75" customHeight="1" x14ac:dyDescent="0.3">
      <c r="A38" s="146" t="s">
        <v>438</v>
      </c>
      <c r="B38" s="147">
        <f>P38+Q38-R38</f>
        <v>137903786053</v>
      </c>
      <c r="C38" s="142">
        <f t="shared" si="8"/>
        <v>0.11516873036260522</v>
      </c>
      <c r="D38" s="147">
        <f>B38-S38-T38-U38-V38</f>
        <v>125043763647</v>
      </c>
      <c r="E38" s="142">
        <f t="shared" si="9"/>
        <v>0.11227358323656444</v>
      </c>
      <c r="F38" s="148">
        <f>F37</f>
        <v>21340640.460000001</v>
      </c>
      <c r="G38" s="142">
        <f t="shared" si="10"/>
        <v>6.8305812093520712E-2</v>
      </c>
      <c r="H38" s="147">
        <f t="shared" si="6"/>
        <v>136848194578.76981</v>
      </c>
      <c r="I38" s="142">
        <f t="shared" si="11"/>
        <v>0.11428372242443308</v>
      </c>
      <c r="J38" s="143">
        <f t="shared" si="12"/>
        <v>14035492728.455933</v>
      </c>
      <c r="K38" s="147">
        <v>5515697476</v>
      </c>
      <c r="L38" s="142">
        <f t="shared" si="13"/>
        <v>4.4911457796300437E-2</v>
      </c>
      <c r="M38" s="142">
        <f t="shared" si="14"/>
        <v>6.9372264628132674E-2</v>
      </c>
      <c r="N38" s="142">
        <f t="shared" si="7"/>
        <v>0.1142837224244331</v>
      </c>
      <c r="O38" s="145">
        <v>0.180785</v>
      </c>
      <c r="P38" s="157">
        <f>135136527010</f>
        <v>135136527010</v>
      </c>
      <c r="Q38" s="158">
        <v>2903694456</v>
      </c>
      <c r="R38" s="159">
        <v>136435413</v>
      </c>
      <c r="S38" s="157">
        <v>12752999515</v>
      </c>
      <c r="T38" s="157">
        <v>6361420</v>
      </c>
      <c r="U38" s="159">
        <v>100577621</v>
      </c>
      <c r="V38" s="159">
        <v>83850</v>
      </c>
    </row>
    <row r="39" spans="1:22" s="129" customFormat="1" ht="24.75" customHeight="1" x14ac:dyDescent="0.3">
      <c r="A39" s="138" t="s">
        <v>439</v>
      </c>
      <c r="B39" s="139">
        <v>149632276578</v>
      </c>
      <c r="C39" s="142">
        <f t="shared" si="8"/>
        <v>8.0944639747536851E-2</v>
      </c>
      <c r="D39" s="139">
        <v>135267863469</v>
      </c>
      <c r="E39" s="142">
        <f t="shared" si="9"/>
        <v>7.725386350977459E-2</v>
      </c>
      <c r="F39" s="141">
        <v>22734188.809999999</v>
      </c>
      <c r="G39" s="142">
        <f t="shared" si="10"/>
        <v>6.5300212175543937E-2</v>
      </c>
      <c r="H39" s="139">
        <f t="shared" si="6"/>
        <v>148262466992.27225</v>
      </c>
      <c r="I39" s="142">
        <f t="shared" si="11"/>
        <v>7.9279277947691629E-2</v>
      </c>
      <c r="J39" s="143">
        <f t="shared" si="12"/>
        <v>10890731963.502472</v>
      </c>
      <c r="K39" s="139">
        <v>5214332471</v>
      </c>
      <c r="L39" s="142">
        <f t="shared" si="13"/>
        <v>3.795782640372098E-2</v>
      </c>
      <c r="M39" s="142">
        <f t="shared" si="14"/>
        <v>4.1321451543970551E-2</v>
      </c>
      <c r="N39" s="142">
        <f t="shared" si="7"/>
        <v>7.9279277947691532E-2</v>
      </c>
      <c r="O39" s="145">
        <v>0.174951</v>
      </c>
      <c r="P39" s="161"/>
      <c r="Q39" s="161"/>
      <c r="R39" s="161"/>
      <c r="S39" s="161"/>
      <c r="T39" s="161"/>
      <c r="U39" s="161"/>
      <c r="V39" s="161"/>
    </row>
    <row r="40" spans="1:22" s="136" customFormat="1" ht="24.75" customHeight="1" x14ac:dyDescent="0.3">
      <c r="A40" s="146" t="s">
        <v>440</v>
      </c>
      <c r="B40" s="147">
        <f>P40+Q40-R40</f>
        <v>148904316613</v>
      </c>
      <c r="C40" s="142">
        <f t="shared" si="8"/>
        <v>7.9769605134497157E-2</v>
      </c>
      <c r="D40" s="147">
        <f>B40-S40-T40-U40-V40</f>
        <v>134539903504</v>
      </c>
      <c r="E40" s="142">
        <f t="shared" si="9"/>
        <v>7.5942530679160569E-2</v>
      </c>
      <c r="F40" s="148">
        <f>F39</f>
        <v>22734188.809999999</v>
      </c>
      <c r="G40" s="142">
        <f t="shared" si="10"/>
        <v>6.5300212175543937E-2</v>
      </c>
      <c r="H40" s="147">
        <f t="shared" si="6"/>
        <v>147534507027.27222</v>
      </c>
      <c r="I40" s="142">
        <f t="shared" si="11"/>
        <v>7.8088808415746946E-2</v>
      </c>
      <c r="J40" s="143">
        <f t="shared" si="12"/>
        <v>10686312448.502411</v>
      </c>
      <c r="K40" s="147">
        <v>5214332471</v>
      </c>
      <c r="L40" s="142">
        <f t="shared" si="13"/>
        <v>3.8103041746733686E-2</v>
      </c>
      <c r="M40" s="142">
        <f t="shared" si="14"/>
        <v>3.9985766669013233E-2</v>
      </c>
      <c r="N40" s="142">
        <f t="shared" si="7"/>
        <v>7.8088808415746919E-2</v>
      </c>
      <c r="O40" s="145">
        <v>0.174951</v>
      </c>
      <c r="P40" s="157">
        <f>145409575815</f>
        <v>145409575815</v>
      </c>
      <c r="Q40" s="158">
        <v>3767379562</v>
      </c>
      <c r="R40" s="159">
        <v>272638764</v>
      </c>
      <c r="S40" s="157">
        <v>14214539683</v>
      </c>
      <c r="T40" s="157">
        <v>5242779</v>
      </c>
      <c r="U40" s="159">
        <v>144630647</v>
      </c>
      <c r="V40" s="159">
        <v>0</v>
      </c>
    </row>
    <row r="41" spans="1:22" s="129" customFormat="1" ht="24.75" customHeight="1" x14ac:dyDescent="0.3">
      <c r="A41" s="138" t="s">
        <v>441</v>
      </c>
      <c r="B41" s="139">
        <v>156340000000</v>
      </c>
      <c r="C41" s="142">
        <f t="shared" si="8"/>
        <v>4.4828051643680089E-2</v>
      </c>
      <c r="D41" s="139">
        <v>140783065000</v>
      </c>
      <c r="E41" s="142">
        <f t="shared" si="9"/>
        <v>4.0772445055021755E-2</v>
      </c>
      <c r="F41" s="141">
        <v>24279801.460000001</v>
      </c>
      <c r="G41" s="142">
        <f t="shared" si="10"/>
        <v>6.7986267859275529E-2</v>
      </c>
      <c r="H41" s="139">
        <f t="shared" si="6"/>
        <v>154855783212.95883</v>
      </c>
      <c r="I41" s="142">
        <f t="shared" si="11"/>
        <v>4.4470568677575262E-2</v>
      </c>
      <c r="J41" s="143">
        <f t="shared" si="12"/>
        <v>6593316220.6865845</v>
      </c>
      <c r="K41" s="139">
        <v>5001666272</v>
      </c>
      <c r="L41" s="142">
        <f t="shared" si="13"/>
        <v>3.3735215482828151E-2</v>
      </c>
      <c r="M41" s="142">
        <f t="shared" si="14"/>
        <v>1.0735353194747155E-2</v>
      </c>
      <c r="N41" s="142">
        <f t="shared" si="7"/>
        <v>4.4470568677575303E-2</v>
      </c>
      <c r="O41" s="145">
        <v>0.17253099999999999</v>
      </c>
      <c r="P41" s="161"/>
      <c r="Q41" s="161"/>
      <c r="R41" s="161"/>
      <c r="S41" s="161"/>
      <c r="T41" s="161"/>
      <c r="U41" s="161"/>
      <c r="V41" s="161"/>
    </row>
    <row r="42" spans="1:22" s="136" customFormat="1" ht="24.75" customHeight="1" x14ac:dyDescent="0.3">
      <c r="A42" s="146" t="s">
        <v>442</v>
      </c>
      <c r="B42" s="147">
        <f>P42+Q42-R42</f>
        <v>156992324634</v>
      </c>
      <c r="C42" s="142">
        <f t="shared" si="8"/>
        <v>5.4316813675862718E-2</v>
      </c>
      <c r="D42" s="147">
        <f>B42-S42-T42-U42-V42</f>
        <v>141401232473</v>
      </c>
      <c r="E42" s="142">
        <f t="shared" si="9"/>
        <v>5.0998468040346134E-2</v>
      </c>
      <c r="F42" s="148">
        <f>F41</f>
        <v>24279801.460000001</v>
      </c>
      <c r="G42" s="142">
        <f t="shared" si="10"/>
        <v>6.7986267859275529E-2</v>
      </c>
      <c r="H42" s="147">
        <f t="shared" si="6"/>
        <v>155473950685.95883</v>
      </c>
      <c r="I42" s="142">
        <f t="shared" si="11"/>
        <v>5.3814147067431373E-2</v>
      </c>
      <c r="J42" s="143">
        <f t="shared" si="12"/>
        <v>7939443658.686615</v>
      </c>
      <c r="K42" s="147">
        <v>5075099800</v>
      </c>
      <c r="L42" s="142">
        <f t="shared" si="13"/>
        <v>3.4399408668928225E-2</v>
      </c>
      <c r="M42" s="142">
        <f t="shared" si="14"/>
        <v>1.9414738398503151E-2</v>
      </c>
      <c r="N42" s="142">
        <f t="shared" si="7"/>
        <v>5.3814147067431373E-2</v>
      </c>
      <c r="O42" s="145">
        <v>0.17253099999999999</v>
      </c>
      <c r="P42" s="157">
        <f>156595060671</f>
        <v>156595060671</v>
      </c>
      <c r="Q42" s="158">
        <v>418296270</v>
      </c>
      <c r="R42" s="159">
        <v>21032307</v>
      </c>
      <c r="S42" s="157">
        <v>15560178739</v>
      </c>
      <c r="T42" s="157">
        <v>7233405</v>
      </c>
      <c r="U42" s="159">
        <v>23680017</v>
      </c>
      <c r="V42" s="159">
        <v>0</v>
      </c>
    </row>
    <row r="43" spans="1:22" s="129" customFormat="1" ht="24.75" customHeight="1" x14ac:dyDescent="0.3">
      <c r="A43" s="138" t="s">
        <v>443</v>
      </c>
      <c r="B43" s="139">
        <v>167755086085</v>
      </c>
      <c r="C43" s="142">
        <f t="shared" si="8"/>
        <v>7.3014494595113222E-2</v>
      </c>
      <c r="D43" s="139">
        <v>150386004475</v>
      </c>
      <c r="E43" s="142">
        <f t="shared" si="9"/>
        <v>6.8210899336507591E-2</v>
      </c>
      <c r="F43" s="141">
        <v>26079927.809999999</v>
      </c>
      <c r="G43" s="142">
        <f t="shared" si="10"/>
        <v>7.4140900738650428E-2</v>
      </c>
      <c r="H43" s="139">
        <f t="shared" si="6"/>
        <v>165901736096.12476</v>
      </c>
      <c r="I43" s="142">
        <f t="shared" si="11"/>
        <v>7.1330580324374671E-2</v>
      </c>
      <c r="J43" s="143">
        <f t="shared" si="12"/>
        <v>11045952883.165924</v>
      </c>
      <c r="K43" s="139">
        <v>5029736214</v>
      </c>
      <c r="L43" s="142">
        <f t="shared" si="13"/>
        <v>3.2480131575603276E-2</v>
      </c>
      <c r="M43" s="142">
        <f t="shared" si="14"/>
        <v>3.8850448748771478E-2</v>
      </c>
      <c r="N43" s="142">
        <f t="shared" si="7"/>
        <v>7.1330580324374754E-2</v>
      </c>
      <c r="O43" s="145">
        <v>0.16808699999999999</v>
      </c>
      <c r="P43" s="161"/>
      <c r="Q43" s="161"/>
      <c r="R43" s="161"/>
      <c r="S43" s="161"/>
      <c r="T43" s="161"/>
      <c r="U43" s="161"/>
      <c r="V43" s="161"/>
    </row>
    <row r="44" spans="1:22" s="136" customFormat="1" ht="24.75" customHeight="1" x14ac:dyDescent="0.3">
      <c r="A44" s="146" t="s">
        <v>444</v>
      </c>
      <c r="B44" s="147">
        <f>P44+Q44-R44</f>
        <v>167382996225</v>
      </c>
      <c r="C44" s="142">
        <f t="shared" si="8"/>
        <v>6.6185857271838122E-2</v>
      </c>
      <c r="D44" s="147">
        <f>B44-S44-T44-U44-V44</f>
        <v>150013914615</v>
      </c>
      <c r="E44" s="142">
        <f t="shared" si="9"/>
        <v>6.090952668071381E-2</v>
      </c>
      <c r="F44" s="148">
        <f>F43</f>
        <v>26079927.809999999</v>
      </c>
      <c r="G44" s="142">
        <f t="shared" si="10"/>
        <v>7.4140900738650428E-2</v>
      </c>
      <c r="H44" s="147">
        <f t="shared" si="6"/>
        <v>165529646236.12479</v>
      </c>
      <c r="I44" s="142">
        <f t="shared" si="11"/>
        <v>6.4677687199686584E-2</v>
      </c>
      <c r="J44" s="143">
        <f t="shared" si="12"/>
        <v>10055695550.165955</v>
      </c>
      <c r="K44" s="147">
        <v>5029736214</v>
      </c>
      <c r="L44" s="142">
        <f t="shared" si="13"/>
        <v>3.2350989936311213E-2</v>
      </c>
      <c r="M44" s="142">
        <f t="shared" si="14"/>
        <v>3.2326697263375448E-2</v>
      </c>
      <c r="N44" s="142">
        <f t="shared" si="7"/>
        <v>6.4677687199686668E-2</v>
      </c>
      <c r="O44" s="145">
        <v>0.16808699999999999</v>
      </c>
      <c r="P44" s="157">
        <f>164722427975</f>
        <v>164722427975</v>
      </c>
      <c r="Q44" s="158">
        <v>2777241252</v>
      </c>
      <c r="R44" s="159">
        <v>116673002</v>
      </c>
      <c r="S44" s="157">
        <v>17205162624</v>
      </c>
      <c r="T44" s="157">
        <v>7792782</v>
      </c>
      <c r="U44" s="159">
        <v>156126204</v>
      </c>
      <c r="V44" s="159">
        <v>0</v>
      </c>
    </row>
    <row r="45" spans="1:22" s="129" customFormat="1" ht="24.75" customHeight="1" x14ac:dyDescent="0.3">
      <c r="A45" s="138" t="s">
        <v>445</v>
      </c>
      <c r="B45" s="139">
        <v>196328281726</v>
      </c>
      <c r="C45" s="142">
        <f t="shared" si="8"/>
        <v>0.17032685152998717</v>
      </c>
      <c r="D45" s="139">
        <v>176207187858</v>
      </c>
      <c r="E45" s="142">
        <f t="shared" si="9"/>
        <v>0.17169937769902299</v>
      </c>
      <c r="F45" s="141">
        <v>28064492.899999999</v>
      </c>
      <c r="G45" s="142">
        <f t="shared" si="10"/>
        <v>7.6095497827223468E-2</v>
      </c>
      <c r="H45" s="139">
        <f t="shared" si="6"/>
        <v>194617015072.10623</v>
      </c>
      <c r="I45" s="142">
        <f t="shared" si="11"/>
        <v>0.17308606679886474</v>
      </c>
      <c r="J45" s="143">
        <f t="shared" si="12"/>
        <v>28715278975.981476</v>
      </c>
      <c r="K45" s="139">
        <v>6340717536</v>
      </c>
      <c r="L45" s="142">
        <f t="shared" si="13"/>
        <v>3.8219717799252796E-2</v>
      </c>
      <c r="M45" s="142">
        <f t="shared" si="14"/>
        <v>0.13486634899961192</v>
      </c>
      <c r="N45" s="142">
        <f t="shared" si="7"/>
        <v>0.17308606679886471</v>
      </c>
      <c r="O45" s="145">
        <v>0.152443</v>
      </c>
      <c r="P45" s="143"/>
      <c r="Q45" s="143"/>
      <c r="R45" s="143"/>
      <c r="S45" s="143"/>
      <c r="T45" s="143"/>
      <c r="U45" s="143"/>
      <c r="V45" s="143"/>
    </row>
    <row r="46" spans="1:22" s="136" customFormat="1" ht="24.75" customHeight="1" x14ac:dyDescent="0.3">
      <c r="A46" s="146" t="s">
        <v>446</v>
      </c>
      <c r="B46" s="147">
        <f>P46+Q46-R46</f>
        <v>194752647094</v>
      </c>
      <c r="C46" s="142">
        <f t="shared" si="8"/>
        <v>0.16351512092786957</v>
      </c>
      <c r="D46" s="147">
        <f>B46-S46-T46-U46-V46</f>
        <v>174631553226</v>
      </c>
      <c r="E46" s="142">
        <f t="shared" si="9"/>
        <v>0.16410236793153099</v>
      </c>
      <c r="F46" s="148">
        <f>F45</f>
        <v>28064492.899999999</v>
      </c>
      <c r="G46" s="142">
        <f t="shared" si="10"/>
        <v>7.6095497827223468E-2</v>
      </c>
      <c r="H46" s="147">
        <f t="shared" si="6"/>
        <v>193041380440.10626</v>
      </c>
      <c r="I46" s="142">
        <f t="shared" si="11"/>
        <v>0.16620427113543479</v>
      </c>
      <c r="J46" s="143">
        <f t="shared" si="12"/>
        <v>27511734203.981476</v>
      </c>
      <c r="K46" s="147">
        <v>6340717536</v>
      </c>
      <c r="L46" s="142">
        <f t="shared" si="13"/>
        <v>3.8305630925804621E-2</v>
      </c>
      <c r="M46" s="142">
        <f t="shared" si="14"/>
        <v>0.1278986402096301</v>
      </c>
      <c r="N46" s="142">
        <f t="shared" si="7"/>
        <v>0.16620427113543473</v>
      </c>
      <c r="O46" s="145">
        <v>0.152443</v>
      </c>
      <c r="P46" s="157">
        <f>187916153339</f>
        <v>187916153339</v>
      </c>
      <c r="Q46" s="158">
        <f>6896562594</f>
        <v>6896562594</v>
      </c>
      <c r="R46" s="159">
        <f>60068839</f>
        <v>60068839</v>
      </c>
      <c r="S46" s="157">
        <v>19658338752</v>
      </c>
      <c r="T46" s="157">
        <v>7174908</v>
      </c>
      <c r="U46" s="159">
        <v>455122442</v>
      </c>
      <c r="V46" s="159">
        <v>457766</v>
      </c>
    </row>
    <row r="47" spans="1:22" s="129" customFormat="1" ht="24.75" customHeight="1" x14ac:dyDescent="0.3">
      <c r="A47" s="138" t="s">
        <v>447</v>
      </c>
      <c r="B47" s="139">
        <v>225503440075</v>
      </c>
      <c r="C47" s="142">
        <f t="shared" si="8"/>
        <v>0.1486039509565793</v>
      </c>
      <c r="D47" s="139">
        <v>201518921691</v>
      </c>
      <c r="E47" s="142">
        <f t="shared" si="9"/>
        <v>0.14364756705270132</v>
      </c>
      <c r="F47" s="141">
        <v>30565470.170000002</v>
      </c>
      <c r="G47" s="142">
        <f t="shared" si="10"/>
        <v>8.9115355795365225E-2</v>
      </c>
      <c r="H47" s="139">
        <f t="shared" si="6"/>
        <v>221985545617.12979</v>
      </c>
      <c r="I47" s="142">
        <f t="shared" si="11"/>
        <v>0.14062763492125008</v>
      </c>
      <c r="J47" s="143">
        <f t="shared" si="12"/>
        <v>27368530545.02356</v>
      </c>
      <c r="K47" s="139">
        <v>7551625647</v>
      </c>
      <c r="L47" s="142">
        <f t="shared" si="13"/>
        <v>3.8802494448915981E-2</v>
      </c>
      <c r="M47" s="142">
        <f t="shared" si="14"/>
        <v>0.101825140472334</v>
      </c>
      <c r="N47" s="142">
        <f t="shared" si="7"/>
        <v>0.14062763492124997</v>
      </c>
      <c r="O47" s="145">
        <v>0.149343</v>
      </c>
      <c r="P47" s="143"/>
      <c r="Q47" s="143"/>
      <c r="R47" s="143"/>
      <c r="S47" s="143"/>
      <c r="T47" s="143"/>
      <c r="U47" s="143"/>
      <c r="V47" s="143"/>
    </row>
    <row r="48" spans="1:22" s="136" customFormat="1" ht="24.75" customHeight="1" x14ac:dyDescent="0.3">
      <c r="A48" s="146" t="s">
        <v>448</v>
      </c>
      <c r="B48" s="147">
        <f>P48+Q48-R48</f>
        <v>223798743492</v>
      </c>
      <c r="C48" s="142">
        <f t="shared" si="8"/>
        <v>0.14914352555105714</v>
      </c>
      <c r="D48" s="147">
        <f>B48-S48-T48-U48-V48</f>
        <v>199814225108</v>
      </c>
      <c r="E48" s="142">
        <f t="shared" si="9"/>
        <v>0.14420459199266111</v>
      </c>
      <c r="F48" s="148">
        <f>F47</f>
        <v>30565470.170000002</v>
      </c>
      <c r="G48" s="142">
        <f t="shared" si="10"/>
        <v>8.9115355795365225E-2</v>
      </c>
      <c r="H48" s="147">
        <f t="shared" si="6"/>
        <v>220280849034.12976</v>
      </c>
      <c r="I48" s="142">
        <f t="shared" si="11"/>
        <v>0.14110688875059574</v>
      </c>
      <c r="J48" s="143">
        <f t="shared" si="12"/>
        <v>27239468594.023499</v>
      </c>
      <c r="K48" s="147">
        <f>K47</f>
        <v>7551625647</v>
      </c>
      <c r="L48" s="142">
        <f t="shared" si="13"/>
        <v>3.9119206616650755E-2</v>
      </c>
      <c r="M48" s="142">
        <f t="shared" si="14"/>
        <v>0.10198768213394496</v>
      </c>
      <c r="N48" s="142">
        <f t="shared" si="7"/>
        <v>0.14110688875059571</v>
      </c>
      <c r="O48" s="145">
        <v>0.149343</v>
      </c>
      <c r="P48" s="157">
        <v>217632037359</v>
      </c>
      <c r="Q48" s="158">
        <v>6525626170</v>
      </c>
      <c r="R48" s="159">
        <v>358920037</v>
      </c>
      <c r="S48" s="157">
        <v>23603183243</v>
      </c>
      <c r="T48" s="157">
        <v>5594920</v>
      </c>
      <c r="U48" s="159">
        <v>375666292</v>
      </c>
      <c r="V48" s="159">
        <v>73929</v>
      </c>
    </row>
    <row r="49" spans="1:22" s="129" customFormat="1" ht="24.75" customHeight="1" x14ac:dyDescent="0.3">
      <c r="A49" s="138" t="s">
        <v>449</v>
      </c>
      <c r="B49" s="139">
        <v>251108780615</v>
      </c>
      <c r="C49" s="142">
        <f t="shared" si="8"/>
        <v>0.11354744979271247</v>
      </c>
      <c r="D49" s="139">
        <v>222776036448</v>
      </c>
      <c r="E49" s="142">
        <f t="shared" si="9"/>
        <v>0.10548446060859096</v>
      </c>
      <c r="F49" s="141">
        <v>33383487.559999999</v>
      </c>
      <c r="G49" s="142">
        <f t="shared" si="10"/>
        <v>9.2196108037162716E-2</v>
      </c>
      <c r="H49" s="139">
        <f t="shared" si="6"/>
        <v>245129603444.77927</v>
      </c>
      <c r="I49" s="142">
        <f t="shared" si="11"/>
        <v>0.10425930104281322</v>
      </c>
      <c r="J49" s="143">
        <f t="shared" si="12"/>
        <v>23144057827.649475</v>
      </c>
      <c r="K49" s="139">
        <v>9298315148</v>
      </c>
      <c r="L49" s="142">
        <f t="shared" si="13"/>
        <v>4.1887029725968264E-2</v>
      </c>
      <c r="M49" s="142">
        <f t="shared" si="14"/>
        <v>6.2372271316844925E-2</v>
      </c>
      <c r="N49" s="142">
        <f t="shared" si="7"/>
        <v>0.1042593010428132</v>
      </c>
      <c r="O49" s="145">
        <v>0.149343</v>
      </c>
      <c r="P49" s="143"/>
      <c r="Q49" s="143"/>
      <c r="R49" s="143"/>
      <c r="S49" s="143"/>
      <c r="T49" s="143"/>
      <c r="U49" s="143"/>
      <c r="V49" s="143"/>
    </row>
    <row r="50" spans="1:22" s="136" customFormat="1" ht="24.75" customHeight="1" x14ac:dyDescent="0.3">
      <c r="A50" s="146" t="s">
        <v>450</v>
      </c>
      <c r="B50" s="147">
        <f>P50+Q50-R50</f>
        <v>249469779734</v>
      </c>
      <c r="C50" s="142">
        <f t="shared" si="8"/>
        <v>0.11470589978052148</v>
      </c>
      <c r="D50" s="147">
        <f>B50-S50-T50-U50-V50</f>
        <v>221137035567</v>
      </c>
      <c r="E50" s="142">
        <f t="shared" si="9"/>
        <v>0.10671317543821002</v>
      </c>
      <c r="F50" s="148">
        <f>F49</f>
        <v>33383487.559999999</v>
      </c>
      <c r="G50" s="142">
        <f t="shared" si="10"/>
        <v>9.2196108037162716E-2</v>
      </c>
      <c r="H50" s="147">
        <f t="shared" si="6"/>
        <v>243490602563.77927</v>
      </c>
      <c r="I50" s="142">
        <f t="shared" si="11"/>
        <v>0.10536437294216827</v>
      </c>
      <c r="J50" s="143">
        <f t="shared" si="12"/>
        <v>23209753529.649506</v>
      </c>
      <c r="K50" s="147">
        <f>K49</f>
        <v>9298315148</v>
      </c>
      <c r="L50" s="142">
        <f t="shared" si="13"/>
        <v>4.2211182627861318E-2</v>
      </c>
      <c r="M50" s="142">
        <f t="shared" si="14"/>
        <v>6.3153190314306912E-2</v>
      </c>
      <c r="N50" s="142">
        <f t="shared" si="7"/>
        <v>0.10536437294216823</v>
      </c>
      <c r="O50" s="145">
        <v>0.149343</v>
      </c>
      <c r="P50" s="157">
        <v>242553249055</v>
      </c>
      <c r="Q50" s="158">
        <v>7530817541</v>
      </c>
      <c r="R50" s="159">
        <v>614286862</v>
      </c>
      <c r="S50" s="157">
        <v>27641632110</v>
      </c>
      <c r="T50" s="157">
        <v>10899205</v>
      </c>
      <c r="U50" s="159">
        <v>680003677</v>
      </c>
      <c r="V50" s="159">
        <v>209175</v>
      </c>
    </row>
    <row r="51" spans="1:22" s="129" customFormat="1" ht="24.75" customHeight="1" x14ac:dyDescent="0.3">
      <c r="A51" s="138" t="s">
        <v>451</v>
      </c>
      <c r="B51" s="139">
        <v>270998282005</v>
      </c>
      <c r="C51" s="142">
        <f t="shared" si="8"/>
        <v>7.9206714083386087E-2</v>
      </c>
      <c r="D51" s="139">
        <v>238392568268</v>
      </c>
      <c r="E51" s="142">
        <f t="shared" si="9"/>
        <v>7.0099693256932438E-2</v>
      </c>
      <c r="F51" s="141">
        <v>36544988.950000003</v>
      </c>
      <c r="G51" s="142">
        <f t="shared" si="10"/>
        <v>9.4702549705684591E-2</v>
      </c>
      <c r="H51" s="139">
        <f t="shared" si="6"/>
        <v>262863075054.39099</v>
      </c>
      <c r="I51" s="142">
        <f t="shared" si="11"/>
        <v>7.2343247655139109E-2</v>
      </c>
      <c r="J51" s="143">
        <f t="shared" si="12"/>
        <v>17733471609.611725</v>
      </c>
      <c r="K51" s="139">
        <v>8844845446</v>
      </c>
      <c r="L51" s="142">
        <f t="shared" si="13"/>
        <v>3.6082322664028998E-2</v>
      </c>
      <c r="M51" s="142">
        <f t="shared" si="14"/>
        <v>3.626092499111018E-2</v>
      </c>
      <c r="N51" s="142">
        <f t="shared" si="7"/>
        <v>7.2343247655139178E-2</v>
      </c>
      <c r="O51" s="145">
        <v>0.149343</v>
      </c>
      <c r="P51" s="143"/>
      <c r="Q51" s="143"/>
      <c r="R51" s="143"/>
      <c r="S51" s="143"/>
      <c r="T51" s="143"/>
      <c r="U51" s="143"/>
      <c r="V51" s="143"/>
    </row>
    <row r="52" spans="1:22" s="136" customFormat="1" ht="24.75" customHeight="1" x14ac:dyDescent="0.3">
      <c r="A52" s="146" t="s">
        <v>452</v>
      </c>
      <c r="B52" s="147">
        <f>P52+Q52-R52</f>
        <v>268302714069</v>
      </c>
      <c r="C52" s="142">
        <f t="shared" si="8"/>
        <v>7.5491846567872223E-2</v>
      </c>
      <c r="D52" s="147">
        <f>B52-S52-T52-U52-V52</f>
        <v>235697000332</v>
      </c>
      <c r="E52" s="142">
        <f t="shared" si="9"/>
        <v>6.5841367221315616E-2</v>
      </c>
      <c r="F52" s="148">
        <f>F51</f>
        <v>36544988.950000003</v>
      </c>
      <c r="G52" s="142">
        <f t="shared" si="10"/>
        <v>9.4702549705684591E-2</v>
      </c>
      <c r="H52" s="147">
        <f t="shared" si="6"/>
        <v>260167507118.39105</v>
      </c>
      <c r="I52" s="142">
        <f t="shared" si="11"/>
        <v>6.8490957675639619E-2</v>
      </c>
      <c r="J52" s="143">
        <f t="shared" si="12"/>
        <v>16676904554.611786</v>
      </c>
      <c r="K52" s="147">
        <f>K51</f>
        <v>8844845446</v>
      </c>
      <c r="L52" s="142">
        <f t="shared" si="13"/>
        <v>3.6325202504204263E-2</v>
      </c>
      <c r="M52" s="142">
        <f t="shared" si="14"/>
        <v>3.2165755171435322E-2</v>
      </c>
      <c r="N52" s="142">
        <f t="shared" si="7"/>
        <v>6.8490957675639591E-2</v>
      </c>
      <c r="O52" s="145">
        <v>0.149343</v>
      </c>
      <c r="P52" s="157">
        <v>251337429588</v>
      </c>
      <c r="Q52" s="158">
        <v>17836381674</v>
      </c>
      <c r="R52" s="159">
        <v>871097193</v>
      </c>
      <c r="S52" s="157">
        <v>30945721429</v>
      </c>
      <c r="T52" s="157">
        <v>21498291</v>
      </c>
      <c r="U52" s="159">
        <v>1636882711</v>
      </c>
      <c r="V52" s="159">
        <v>1611306</v>
      </c>
    </row>
    <row r="53" spans="1:22" s="129" customFormat="1" ht="24.75" customHeight="1" x14ac:dyDescent="0.3">
      <c r="A53" s="138" t="s">
        <v>453</v>
      </c>
      <c r="B53" s="139">
        <v>283061905979</v>
      </c>
      <c r="C53" s="142">
        <f t="shared" si="8"/>
        <v>4.4515499820686699E-2</v>
      </c>
      <c r="D53" s="139">
        <v>247477053088</v>
      </c>
      <c r="E53" s="142">
        <f t="shared" si="9"/>
        <v>3.8107248418026485E-2</v>
      </c>
      <c r="F53" s="141">
        <v>39919905.810000002</v>
      </c>
      <c r="G53" s="142">
        <f t="shared" si="10"/>
        <v>9.2349647844126581E-2</v>
      </c>
      <c r="H53" s="139">
        <f t="shared" si="6"/>
        <v>274207402558.68158</v>
      </c>
      <c r="I53" s="142">
        <f t="shared" si="11"/>
        <v>4.3156793710730446E-2</v>
      </c>
      <c r="J53" s="143">
        <f t="shared" si="12"/>
        <v>11344327504.290588</v>
      </c>
      <c r="K53" s="139">
        <v>7747171378</v>
      </c>
      <c r="L53" s="142">
        <f t="shared" si="13"/>
        <v>2.9472269455863946E-2</v>
      </c>
      <c r="M53" s="142">
        <f t="shared" si="14"/>
        <v>1.368452425486643E-2</v>
      </c>
      <c r="N53" s="142">
        <f t="shared" si="7"/>
        <v>4.3156793710730376E-2</v>
      </c>
      <c r="O53" s="145">
        <v>0.149343</v>
      </c>
      <c r="P53" s="143"/>
      <c r="Q53" s="143"/>
      <c r="R53" s="143"/>
      <c r="S53" s="143"/>
      <c r="T53" s="143"/>
      <c r="U53" s="143"/>
      <c r="V53" s="143"/>
    </row>
    <row r="54" spans="1:22" s="136" customFormat="1" ht="24.75" customHeight="1" x14ac:dyDescent="0.3">
      <c r="A54" s="146" t="s">
        <v>454</v>
      </c>
      <c r="B54" s="147">
        <f>P54+Q54-R54</f>
        <v>280177767144</v>
      </c>
      <c r="C54" s="142">
        <f t="shared" si="8"/>
        <v>4.4259906636449742E-2</v>
      </c>
      <c r="D54" s="147">
        <f>B54-S54-T54-U54-V54</f>
        <v>244592914253</v>
      </c>
      <c r="E54" s="142">
        <f t="shared" si="9"/>
        <v>3.7743008644443243E-2</v>
      </c>
      <c r="F54" s="148">
        <f>F53</f>
        <v>39919905.810000002</v>
      </c>
      <c r="G54" s="142">
        <f t="shared" si="10"/>
        <v>9.2349647844126581E-2</v>
      </c>
      <c r="H54" s="147">
        <f t="shared" si="6"/>
        <v>271323263723.68158</v>
      </c>
      <c r="I54" s="142">
        <f t="shared" si="11"/>
        <v>4.2879130944718735E-2</v>
      </c>
      <c r="J54" s="143">
        <f t="shared" si="12"/>
        <v>11155756605.290527</v>
      </c>
      <c r="K54" s="147">
        <f>K53</f>
        <v>7747171378</v>
      </c>
      <c r="L54" s="142">
        <f t="shared" si="13"/>
        <v>2.9777628512520572E-2</v>
      </c>
      <c r="M54" s="142">
        <f t="shared" si="14"/>
        <v>1.3101502432198141E-2</v>
      </c>
      <c r="N54" s="142">
        <f t="shared" si="7"/>
        <v>4.2879130944718714E-2</v>
      </c>
      <c r="O54" s="191">
        <v>0.149343</v>
      </c>
      <c r="P54" s="157">
        <v>259875872939</v>
      </c>
      <c r="Q54" s="158">
        <v>21901285078</v>
      </c>
      <c r="R54" s="159">
        <v>1599390873</v>
      </c>
      <c r="S54" s="157">
        <v>32996146049</v>
      </c>
      <c r="T54" s="157">
        <v>34383449</v>
      </c>
      <c r="U54" s="159">
        <v>2551082387</v>
      </c>
      <c r="V54" s="159">
        <v>3241006</v>
      </c>
    </row>
    <row r="55" spans="1:22" ht="15" thickBot="1" x14ac:dyDescent="0.35"/>
    <row r="56" spans="1:22" s="129" customFormat="1" ht="49.2" thickBot="1" x14ac:dyDescent="0.35">
      <c r="A56" s="162" t="s">
        <v>407</v>
      </c>
      <c r="B56" s="163"/>
      <c r="C56" s="163" t="s">
        <v>478</v>
      </c>
      <c r="D56" s="163"/>
      <c r="E56" s="163" t="s">
        <v>462</v>
      </c>
      <c r="F56" s="163"/>
      <c r="G56" s="163" t="s">
        <v>464</v>
      </c>
      <c r="H56" s="163" t="s">
        <v>479</v>
      </c>
      <c r="I56" s="163" t="s">
        <v>480</v>
      </c>
      <c r="J56" s="163" t="s">
        <v>481</v>
      </c>
      <c r="K56" s="163" t="s">
        <v>483</v>
      </c>
      <c r="L56" s="163" t="s">
        <v>474</v>
      </c>
      <c r="M56" s="163" t="s">
        <v>497</v>
      </c>
      <c r="N56" s="346" t="s">
        <v>473</v>
      </c>
      <c r="O56" s="347"/>
      <c r="P56" s="164"/>
      <c r="Q56" s="164"/>
      <c r="R56" s="164"/>
      <c r="S56" s="164"/>
      <c r="T56" s="164"/>
      <c r="U56" s="164"/>
      <c r="V56" s="164"/>
    </row>
    <row r="57" spans="1:22" s="129" customFormat="1" ht="24.6" customHeight="1" thickBot="1" x14ac:dyDescent="0.35">
      <c r="A57" s="165" t="s">
        <v>476</v>
      </c>
      <c r="B57" s="166"/>
      <c r="C57" s="167">
        <v>0.14780599999999999</v>
      </c>
      <c r="D57" s="166"/>
      <c r="E57" s="167">
        <v>4.1849999999999998E-2</v>
      </c>
      <c r="F57" s="168"/>
      <c r="G57" s="167">
        <v>8.0000000000000004E-4</v>
      </c>
      <c r="H57" s="167">
        <f>C57-E57-G57</f>
        <v>0.105156</v>
      </c>
      <c r="I57" s="167">
        <v>0.110972</v>
      </c>
      <c r="J57" s="167">
        <f>I57-G57</f>
        <v>0.11017200000000001</v>
      </c>
      <c r="K57" s="167">
        <v>0.15282200000000001</v>
      </c>
      <c r="L57" s="167">
        <f>O54-E57-G57</f>
        <v>0.10669300000000001</v>
      </c>
      <c r="M57" s="271">
        <f>'General Fund'!I136</f>
        <v>0.10642700000000001</v>
      </c>
      <c r="N57" s="353" t="str">
        <f>IF(L70&gt;J70,"Your Tax Rate REQUIRES an Election.","")</f>
        <v/>
      </c>
      <c r="O57" s="354"/>
      <c r="P57" s="164"/>
      <c r="Q57" s="164"/>
      <c r="R57" s="164"/>
      <c r="S57" s="164"/>
      <c r="T57" s="164"/>
      <c r="U57" s="164"/>
      <c r="V57" s="164"/>
    </row>
    <row r="58" spans="1:22" ht="15" thickBot="1" x14ac:dyDescent="0.35"/>
    <row r="59" spans="1:22" s="129" customFormat="1" ht="31.95" customHeight="1" thickBot="1" x14ac:dyDescent="0.35">
      <c r="A59" s="339" t="s">
        <v>475</v>
      </c>
      <c r="B59" s="340"/>
      <c r="C59" s="340"/>
      <c r="D59" s="340"/>
      <c r="E59" s="340"/>
      <c r="F59" s="340"/>
      <c r="G59" s="340"/>
      <c r="H59" s="340"/>
      <c r="I59" s="340"/>
      <c r="J59" s="340"/>
      <c r="K59" s="340"/>
      <c r="L59" s="340"/>
      <c r="M59" s="340"/>
      <c r="N59" s="340"/>
      <c r="O59" s="341"/>
      <c r="P59" s="164"/>
      <c r="Q59" s="164"/>
      <c r="R59" s="164"/>
      <c r="S59" s="164"/>
      <c r="T59" s="164"/>
      <c r="U59" s="164"/>
      <c r="V59" s="164"/>
    </row>
    <row r="60" spans="1:22" s="129" customFormat="1" ht="43.8" thickBot="1" x14ac:dyDescent="0.35">
      <c r="A60" s="162" t="s">
        <v>407</v>
      </c>
      <c r="B60" s="169" t="s">
        <v>408</v>
      </c>
      <c r="C60" s="170" t="s">
        <v>409</v>
      </c>
      <c r="D60" s="169" t="s">
        <v>15</v>
      </c>
      <c r="E60" s="170" t="s">
        <v>456</v>
      </c>
      <c r="F60" s="169" t="s">
        <v>17</v>
      </c>
      <c r="G60" s="170" t="s">
        <v>456</v>
      </c>
      <c r="H60" s="169" t="s">
        <v>16</v>
      </c>
      <c r="I60" s="170" t="s">
        <v>409</v>
      </c>
      <c r="J60" s="170" t="s">
        <v>410</v>
      </c>
      <c r="K60" s="171" t="s">
        <v>18</v>
      </c>
      <c r="L60" s="170" t="s">
        <v>457</v>
      </c>
      <c r="M60" s="170" t="s">
        <v>458</v>
      </c>
      <c r="N60" s="170" t="s">
        <v>413</v>
      </c>
      <c r="O60" s="172" t="s">
        <v>459</v>
      </c>
      <c r="P60" s="164"/>
      <c r="Q60" s="164"/>
      <c r="R60" s="164"/>
      <c r="S60" s="164"/>
      <c r="T60" s="164"/>
      <c r="U60" s="164"/>
      <c r="V60" s="164"/>
    </row>
    <row r="61" spans="1:22" s="129" customFormat="1" ht="24.75" customHeight="1" x14ac:dyDescent="0.3">
      <c r="A61" s="173" t="s">
        <v>468</v>
      </c>
      <c r="B61" s="174"/>
      <c r="C61" s="175"/>
      <c r="D61" s="174">
        <f>D54+(D54*E61)</f>
        <v>253153666251.85501</v>
      </c>
      <c r="E61" s="192">
        <v>3.5000000000000003E-2</v>
      </c>
      <c r="F61" s="176">
        <f>F54+(F54*G61)</f>
        <v>43113498.274800003</v>
      </c>
      <c r="G61" s="192">
        <v>0.08</v>
      </c>
      <c r="H61" s="174">
        <f>((((D61/100)*O61)+F61)/O61)*100</f>
        <v>282022443680.1911</v>
      </c>
      <c r="I61" s="175">
        <f>(H61/H54)-1</f>
        <v>3.9433330594923488E-2</v>
      </c>
      <c r="J61" s="177">
        <f>H61-H54</f>
        <v>10699179956.509521</v>
      </c>
      <c r="K61" s="174">
        <f>K54+(K54*L61)</f>
        <v>7902114805.5600004</v>
      </c>
      <c r="L61" s="192">
        <v>0.02</v>
      </c>
      <c r="M61" s="192">
        <v>0.01</v>
      </c>
      <c r="N61" s="175">
        <f>L61+M61</f>
        <v>0.03</v>
      </c>
      <c r="O61" s="195">
        <v>0.149343</v>
      </c>
      <c r="P61" s="135"/>
    </row>
    <row r="62" spans="1:22" s="129" customFormat="1" ht="24.75" customHeight="1" x14ac:dyDescent="0.3">
      <c r="A62" s="178" t="s">
        <v>469</v>
      </c>
      <c r="B62" s="179"/>
      <c r="C62" s="142"/>
      <c r="D62" s="179">
        <f>D61+(D61*E62)</f>
        <v>263279812901.9292</v>
      </c>
      <c r="E62" s="193">
        <v>0.04</v>
      </c>
      <c r="F62" s="180">
        <f>F61+(F61*G62)</f>
        <v>46562578.136784002</v>
      </c>
      <c r="G62" s="193">
        <v>0.08</v>
      </c>
      <c r="H62" s="179">
        <f t="shared" ref="H62:H65" si="15">((((D62/100)*O62)+F62)/O62)*100</f>
        <v>294458092524.53223</v>
      </c>
      <c r="I62" s="142">
        <f>(H62/H61)-1</f>
        <v>4.409453617259973E-2</v>
      </c>
      <c r="J62" s="143">
        <f>H62-H61</f>
        <v>12435648844.341125</v>
      </c>
      <c r="K62" s="179">
        <f>K61+(K61*L62)</f>
        <v>8060157101.6712008</v>
      </c>
      <c r="L62" s="193">
        <v>0.02</v>
      </c>
      <c r="M62" s="193">
        <v>0.01</v>
      </c>
      <c r="N62" s="142">
        <f t="shared" ref="N62:N65" si="16">L62+M62</f>
        <v>0.03</v>
      </c>
      <c r="O62" s="196">
        <v>0.149343</v>
      </c>
      <c r="P62" s="135"/>
    </row>
    <row r="63" spans="1:22" s="129" customFormat="1" ht="24.75" customHeight="1" x14ac:dyDescent="0.3">
      <c r="A63" s="178" t="s">
        <v>470</v>
      </c>
      <c r="B63" s="179"/>
      <c r="C63" s="142"/>
      <c r="D63" s="179">
        <f>D62+(D62*E63)</f>
        <v>273811005418.00638</v>
      </c>
      <c r="E63" s="193">
        <v>0.04</v>
      </c>
      <c r="F63" s="180">
        <f>F62+(F62*G63)</f>
        <v>50287584.387726724</v>
      </c>
      <c r="G63" s="193">
        <v>0.08</v>
      </c>
      <c r="H63" s="179">
        <f t="shared" si="15"/>
        <v>307483547410.4176</v>
      </c>
      <c r="I63" s="142">
        <f t="shared" ref="I63:I65" si="17">(H63/H62)-1</f>
        <v>4.4235343556741302E-2</v>
      </c>
      <c r="J63" s="143">
        <f t="shared" ref="J63:J65" si="18">H63-H62</f>
        <v>13025454885.885376</v>
      </c>
      <c r="K63" s="179">
        <f>K62+(K62*L63)</f>
        <v>8221360243.7046251</v>
      </c>
      <c r="L63" s="193">
        <v>0.02</v>
      </c>
      <c r="M63" s="193">
        <v>0.01</v>
      </c>
      <c r="N63" s="142">
        <f t="shared" si="16"/>
        <v>0.03</v>
      </c>
      <c r="O63" s="196">
        <v>0.149343</v>
      </c>
      <c r="P63" s="135"/>
    </row>
    <row r="64" spans="1:22" s="129" customFormat="1" ht="24.75" customHeight="1" x14ac:dyDescent="0.3">
      <c r="A64" s="178" t="s">
        <v>471</v>
      </c>
      <c r="B64" s="179"/>
      <c r="C64" s="142"/>
      <c r="D64" s="179">
        <f>D63+(D63*E64)</f>
        <v>284763445634.72662</v>
      </c>
      <c r="E64" s="193">
        <v>0.04</v>
      </c>
      <c r="F64" s="180">
        <f>F63+(F63*G64)</f>
        <v>54310591.138744861</v>
      </c>
      <c r="G64" s="193">
        <v>0.08</v>
      </c>
      <c r="H64" s="179">
        <f t="shared" si="15"/>
        <v>321129790986.53076</v>
      </c>
      <c r="I64" s="142">
        <f t="shared" si="17"/>
        <v>4.4380402434666344E-2</v>
      </c>
      <c r="J64" s="143">
        <f t="shared" si="18"/>
        <v>13646243576.113159</v>
      </c>
      <c r="K64" s="179">
        <f>K63+(K63*L64)</f>
        <v>8385787448.5787172</v>
      </c>
      <c r="L64" s="193">
        <v>0.02</v>
      </c>
      <c r="M64" s="193">
        <v>0.01</v>
      </c>
      <c r="N64" s="142">
        <f t="shared" si="16"/>
        <v>0.03</v>
      </c>
      <c r="O64" s="196">
        <v>0.149343</v>
      </c>
      <c r="P64" s="135"/>
    </row>
    <row r="65" spans="1:22" s="129" customFormat="1" ht="24.75" customHeight="1" thickBot="1" x14ac:dyDescent="0.35">
      <c r="A65" s="181" t="s">
        <v>472</v>
      </c>
      <c r="B65" s="182"/>
      <c r="C65" s="183"/>
      <c r="D65" s="182">
        <f>D64+(D64*E65)</f>
        <v>296153983460.11566</v>
      </c>
      <c r="E65" s="194">
        <v>0.04</v>
      </c>
      <c r="F65" s="184">
        <f>F64+(F64*G65)</f>
        <v>58655438.429844454</v>
      </c>
      <c r="G65" s="194">
        <v>0.08</v>
      </c>
      <c r="H65" s="182">
        <f t="shared" si="15"/>
        <v>335429636440.06415</v>
      </c>
      <c r="I65" s="183">
        <f t="shared" si="17"/>
        <v>4.4529800270486808E-2</v>
      </c>
      <c r="J65" s="185">
        <f t="shared" si="18"/>
        <v>14299845453.533386</v>
      </c>
      <c r="K65" s="182">
        <f>K64+(K64*L65)</f>
        <v>8553503197.550292</v>
      </c>
      <c r="L65" s="194">
        <v>0.02</v>
      </c>
      <c r="M65" s="194">
        <v>0.01</v>
      </c>
      <c r="N65" s="183">
        <f t="shared" si="16"/>
        <v>0.03</v>
      </c>
      <c r="O65" s="197">
        <v>0.149343</v>
      </c>
      <c r="P65" s="135"/>
    </row>
    <row r="66" spans="1:22" s="129" customFormat="1" x14ac:dyDescent="0.3">
      <c r="P66" s="164"/>
      <c r="Q66" s="164"/>
      <c r="R66" s="164"/>
      <c r="S66" s="164"/>
      <c r="T66" s="164"/>
      <c r="U66" s="164"/>
      <c r="V66" s="164"/>
    </row>
    <row r="67" spans="1:22" s="129" customFormat="1" ht="15" thickBot="1" x14ac:dyDescent="0.35">
      <c r="P67" s="164"/>
      <c r="Q67" s="164"/>
      <c r="R67" s="164"/>
      <c r="S67" s="164"/>
      <c r="T67" s="164"/>
      <c r="U67" s="164"/>
      <c r="V67" s="164"/>
    </row>
    <row r="68" spans="1:22" s="129" customFormat="1" ht="34.200000000000003" customHeight="1" thickBot="1" x14ac:dyDescent="0.35">
      <c r="A68" s="350" t="s">
        <v>455</v>
      </c>
      <c r="B68" s="351"/>
      <c r="C68" s="351"/>
      <c r="D68" s="351"/>
      <c r="E68" s="351"/>
      <c r="F68" s="351"/>
      <c r="G68" s="351"/>
      <c r="H68" s="351"/>
      <c r="I68" s="351"/>
      <c r="J68" s="351"/>
      <c r="K68" s="351"/>
      <c r="L68" s="351"/>
      <c r="M68" s="351"/>
      <c r="N68" s="351"/>
      <c r="O68" s="352"/>
      <c r="P68" s="164"/>
      <c r="Q68" s="164"/>
      <c r="R68" s="164"/>
      <c r="S68" s="164"/>
      <c r="T68" s="164"/>
      <c r="U68" s="164"/>
      <c r="V68" s="164"/>
    </row>
    <row r="69" spans="1:22" s="129" customFormat="1" ht="49.2" thickBot="1" x14ac:dyDescent="0.35">
      <c r="A69" s="162" t="s">
        <v>407</v>
      </c>
      <c r="B69" s="163" t="s">
        <v>460</v>
      </c>
      <c r="C69" s="163" t="s">
        <v>461</v>
      </c>
      <c r="D69" s="163" t="s">
        <v>463</v>
      </c>
      <c r="E69" s="163" t="s">
        <v>462</v>
      </c>
      <c r="F69" s="163" t="s">
        <v>465</v>
      </c>
      <c r="G69" s="163" t="s">
        <v>464</v>
      </c>
      <c r="H69" s="163" t="s">
        <v>466</v>
      </c>
      <c r="I69" s="163" t="s">
        <v>467</v>
      </c>
      <c r="J69" s="163" t="s">
        <v>482</v>
      </c>
      <c r="K69" s="163" t="s">
        <v>477</v>
      </c>
      <c r="L69" s="163" t="s">
        <v>474</v>
      </c>
      <c r="M69" s="346" t="s">
        <v>473</v>
      </c>
      <c r="N69" s="346"/>
      <c r="O69" s="347"/>
      <c r="P69" s="164"/>
      <c r="Q69" s="164"/>
      <c r="R69" s="164"/>
      <c r="S69" s="164"/>
      <c r="T69" s="164"/>
      <c r="U69" s="164"/>
      <c r="V69" s="164"/>
    </row>
    <row r="70" spans="1:22" s="129" customFormat="1" ht="24.6" customHeight="1" x14ac:dyDescent="0.3">
      <c r="A70" s="186" t="str">
        <f>A61</f>
        <v>2027 Projection</v>
      </c>
      <c r="B70" s="177">
        <f>(H54/100)*O54</f>
        <v>405202301.74285781</v>
      </c>
      <c r="C70" s="187">
        <f>ROUNDUP(((B70/(H61-K61))*100),6)</f>
        <v>0.14782000000000001</v>
      </c>
      <c r="D70" s="177">
        <f>(H61/100)*E70</f>
        <v>118026392.68015997</v>
      </c>
      <c r="E70" s="198">
        <v>4.1849999999999998E-2</v>
      </c>
      <c r="F70" s="199">
        <v>2250000</v>
      </c>
      <c r="G70" s="187">
        <f>ROUNDUP(((F70*100)/H61),6)</f>
        <v>7.9799999999999999E-4</v>
      </c>
      <c r="H70" s="187">
        <f>C70-E70-G70</f>
        <v>0.10517200000000002</v>
      </c>
      <c r="I70" s="187">
        <f>(H70+G70)*1.035</f>
        <v>0.10967895</v>
      </c>
      <c r="J70" s="187">
        <f>I70-G70</f>
        <v>0.10888095</v>
      </c>
      <c r="K70" s="187">
        <f>I70+E70</f>
        <v>0.15152895</v>
      </c>
      <c r="L70" s="187">
        <f>O61-E70-G70</f>
        <v>0.10669500000000001</v>
      </c>
      <c r="M70" s="342" t="str">
        <f>IF(L70&gt;J70,"Your Tax Rate REQUIRES an Election.","")</f>
        <v/>
      </c>
      <c r="N70" s="342"/>
      <c r="O70" s="343"/>
      <c r="P70" s="164"/>
      <c r="Q70" s="164"/>
      <c r="R70" s="164"/>
      <c r="S70" s="164"/>
      <c r="T70" s="164"/>
      <c r="U70" s="164"/>
      <c r="V70" s="164"/>
    </row>
    <row r="71" spans="1:22" s="129" customFormat="1" ht="24.6" customHeight="1" x14ac:dyDescent="0.3">
      <c r="A71" s="188" t="str">
        <f>A62</f>
        <v>2028 Projection</v>
      </c>
      <c r="B71" s="143">
        <f>(H61/100)*O61</f>
        <v>421180778.0653078</v>
      </c>
      <c r="C71" s="145">
        <f>ROUNDUP(((B71/(H62-K62))*100),6)</f>
        <v>0.147062</v>
      </c>
      <c r="D71" s="143">
        <f>(H62/100)*E71</f>
        <v>123230711.72151673</v>
      </c>
      <c r="E71" s="191">
        <v>4.1849999999999998E-2</v>
      </c>
      <c r="F71" s="200">
        <v>2500000</v>
      </c>
      <c r="G71" s="145">
        <f>ROUNDUP(((F71*100)/H62),6)</f>
        <v>8.5000000000000006E-4</v>
      </c>
      <c r="H71" s="145">
        <f>C71-E71-G71</f>
        <v>0.104362</v>
      </c>
      <c r="I71" s="145">
        <f>(H71+G71)*1.035</f>
        <v>0.10889441999999999</v>
      </c>
      <c r="J71" s="145">
        <f>I71-G71</f>
        <v>0.10804441999999999</v>
      </c>
      <c r="K71" s="145">
        <f>I71+E71</f>
        <v>0.15074441999999999</v>
      </c>
      <c r="L71" s="145">
        <f>O62-E71-G71</f>
        <v>0.106643</v>
      </c>
      <c r="M71" s="344" t="str">
        <f t="shared" ref="M71:M74" si="19">IF(L71&gt;J71,"Your Tax Rate REQUIRES an Election.","")</f>
        <v/>
      </c>
      <c r="N71" s="344"/>
      <c r="O71" s="345"/>
      <c r="P71" s="164"/>
      <c r="Q71" s="164"/>
      <c r="R71" s="164"/>
      <c r="S71" s="164"/>
      <c r="T71" s="164"/>
      <c r="U71" s="164"/>
      <c r="V71" s="164"/>
    </row>
    <row r="72" spans="1:22" s="129" customFormat="1" ht="24.6" customHeight="1" x14ac:dyDescent="0.3">
      <c r="A72" s="188" t="str">
        <f>A63</f>
        <v>2029 Projection</v>
      </c>
      <c r="B72" s="143">
        <f>(H62/100)*O62</f>
        <v>439752549.11891216</v>
      </c>
      <c r="C72" s="145">
        <f>ROUNDUP(((B72/(H63-K63))*100),6)</f>
        <v>0.14694599999999999</v>
      </c>
      <c r="D72" s="143">
        <f>(H63/100)*E72</f>
        <v>128681864.59125976</v>
      </c>
      <c r="E72" s="191">
        <v>4.1849999999999998E-2</v>
      </c>
      <c r="F72" s="200">
        <v>2750000</v>
      </c>
      <c r="G72" s="145">
        <f>ROUNDUP(((F72*100)/H63),6)</f>
        <v>8.9500000000000007E-4</v>
      </c>
      <c r="H72" s="145">
        <f>C72-E72-G72</f>
        <v>0.10420099999999999</v>
      </c>
      <c r="I72" s="145">
        <f>(H72+G72)*1.035</f>
        <v>0.10877435999999999</v>
      </c>
      <c r="J72" s="145">
        <f>I72-G72</f>
        <v>0.10787935999999998</v>
      </c>
      <c r="K72" s="145">
        <f>I72+E72</f>
        <v>0.15062435999999998</v>
      </c>
      <c r="L72" s="145">
        <f>O63-E72-G72</f>
        <v>0.106598</v>
      </c>
      <c r="M72" s="344" t="str">
        <f t="shared" si="19"/>
        <v/>
      </c>
      <c r="N72" s="344"/>
      <c r="O72" s="345"/>
      <c r="P72" s="164"/>
      <c r="Q72" s="164"/>
      <c r="R72" s="164"/>
      <c r="S72" s="164"/>
      <c r="T72" s="164"/>
      <c r="U72" s="164"/>
      <c r="V72" s="164"/>
    </row>
    <row r="73" spans="1:22" s="129" customFormat="1" ht="24.6" customHeight="1" x14ac:dyDescent="0.3">
      <c r="A73" s="188" t="str">
        <f>A64</f>
        <v>2030 Projection</v>
      </c>
      <c r="B73" s="143">
        <f>(H63/100)*O63</f>
        <v>459205154.20914</v>
      </c>
      <c r="C73" s="145">
        <f>ROUNDUP(((B73/(H64-K64))*100),6)</f>
        <v>0.14683199999999999</v>
      </c>
      <c r="D73" s="143">
        <f>(H64/100)*E73</f>
        <v>134392817.52786312</v>
      </c>
      <c r="E73" s="191">
        <v>4.1849999999999998E-2</v>
      </c>
      <c r="F73" s="200">
        <v>3000000</v>
      </c>
      <c r="G73" s="145">
        <f>ROUNDUP(((F73*100)/H64),6)</f>
        <v>9.3500000000000007E-4</v>
      </c>
      <c r="H73" s="145">
        <f>C73-E73-G73</f>
        <v>0.10404699999999999</v>
      </c>
      <c r="I73" s="145">
        <f>(H73+G73)*1.035</f>
        <v>0.10865636999999999</v>
      </c>
      <c r="J73" s="145">
        <f>I73-G73</f>
        <v>0.10772136999999998</v>
      </c>
      <c r="K73" s="145">
        <f>I73+E73</f>
        <v>0.15050637</v>
      </c>
      <c r="L73" s="145">
        <f>O64-E73-G73</f>
        <v>0.106558</v>
      </c>
      <c r="M73" s="344" t="str">
        <f t="shared" si="19"/>
        <v/>
      </c>
      <c r="N73" s="344"/>
      <c r="O73" s="345"/>
      <c r="P73" s="164"/>
      <c r="Q73" s="164"/>
      <c r="R73" s="164"/>
      <c r="S73" s="164"/>
      <c r="T73" s="164"/>
      <c r="U73" s="164"/>
      <c r="V73" s="164"/>
    </row>
    <row r="74" spans="1:22" s="129" customFormat="1" ht="24.6" customHeight="1" thickBot="1" x14ac:dyDescent="0.35">
      <c r="A74" s="189" t="str">
        <f>A65</f>
        <v>2031 Projection</v>
      </c>
      <c r="B74" s="185">
        <f>(H64/100)*O64</f>
        <v>479584863.75301468</v>
      </c>
      <c r="C74" s="190">
        <f>ROUNDUP(((B74/(H65-K65))*100),6)</f>
        <v>0.14671799999999999</v>
      </c>
      <c r="D74" s="185">
        <f>(H65/100)*E74</f>
        <v>140377302.85016683</v>
      </c>
      <c r="E74" s="201">
        <v>4.1849999999999998E-2</v>
      </c>
      <c r="F74" s="202">
        <v>3250000</v>
      </c>
      <c r="G74" s="190">
        <f>ROUNDUP(((F74*100)/H65),6)</f>
        <v>9.6900000000000003E-4</v>
      </c>
      <c r="H74" s="190">
        <f>C74-E74-G74</f>
        <v>0.10389899999999999</v>
      </c>
      <c r="I74" s="190">
        <f>(H74+G74)*1.035</f>
        <v>0.10853837999999998</v>
      </c>
      <c r="J74" s="190">
        <f>I74-G74</f>
        <v>0.10756937999999998</v>
      </c>
      <c r="K74" s="190">
        <f>I74+E74</f>
        <v>0.15038837999999999</v>
      </c>
      <c r="L74" s="190">
        <f>O65-E74-G74</f>
        <v>0.10652400000000001</v>
      </c>
      <c r="M74" s="348" t="str">
        <f t="shared" si="19"/>
        <v/>
      </c>
      <c r="N74" s="348"/>
      <c r="O74" s="349"/>
      <c r="P74" s="164"/>
      <c r="Q74" s="164"/>
      <c r="R74" s="164"/>
      <c r="S74" s="164"/>
      <c r="T74" s="164"/>
      <c r="U74" s="164"/>
      <c r="V74" s="164"/>
    </row>
    <row r="75" spans="1:22" s="129" customFormat="1" x14ac:dyDescent="0.3">
      <c r="P75" s="164"/>
      <c r="Q75" s="164"/>
      <c r="R75" s="164"/>
      <c r="S75" s="164"/>
      <c r="T75" s="164"/>
      <c r="U75" s="164"/>
      <c r="V75" s="164"/>
    </row>
    <row r="76" spans="1:22" s="129" customFormat="1" x14ac:dyDescent="0.3">
      <c r="P76" s="164"/>
      <c r="Q76" s="164"/>
      <c r="R76" s="164"/>
      <c r="S76" s="164"/>
      <c r="T76" s="164"/>
      <c r="U76" s="164"/>
      <c r="V76" s="164"/>
    </row>
    <row r="77" spans="1:22" s="129" customFormat="1" x14ac:dyDescent="0.3">
      <c r="P77" s="164"/>
      <c r="Q77" s="164"/>
      <c r="R77" s="164"/>
      <c r="S77" s="164"/>
      <c r="T77" s="164"/>
      <c r="U77" s="164"/>
      <c r="V77" s="164"/>
    </row>
    <row r="78" spans="1:22" s="129" customFormat="1" x14ac:dyDescent="0.3">
      <c r="P78" s="164"/>
      <c r="Q78" s="164"/>
      <c r="R78" s="164"/>
      <c r="S78" s="164"/>
      <c r="T78" s="164"/>
      <c r="U78" s="164"/>
      <c r="V78" s="164"/>
    </row>
  </sheetData>
  <sheetProtection algorithmName="SHA-512" hashValue="SmZwYdUJ3Ui4fGgrKgiDyfEUV23v4jDL/XpjiaV6KyhL4uVWjaAJnxk8Yo+LxuT6xyOLBf6F+BQD/v63TlbT3g==" saltValue="w7Am9DikbxQdTLYPStx9qg==" spinCount="100000" sheet="1" objects="1" scenarios="1"/>
  <mergeCells count="11">
    <mergeCell ref="M73:O73"/>
    <mergeCell ref="M74:O74"/>
    <mergeCell ref="M69:O69"/>
    <mergeCell ref="A68:O68"/>
    <mergeCell ref="N57:O57"/>
    <mergeCell ref="A1:O1"/>
    <mergeCell ref="A59:O59"/>
    <mergeCell ref="M70:O70"/>
    <mergeCell ref="M71:O71"/>
    <mergeCell ref="M72:O72"/>
    <mergeCell ref="N56:O56"/>
  </mergeCells>
  <printOptions horizontalCentered="1"/>
  <pageMargins left="0.25" right="0.25" top="0.75" bottom="0.75" header="0.3" footer="0.3"/>
  <pageSetup scale="61" firstPageNumber="2" orientation="landscape" r:id="rId1"/>
  <headerFooter alignWithMargins="0">
    <oddFooter>&amp;C&amp;"-,Regular"**CERTIFIED Net Taxable as of July 25th of that year per Tax Code Section 26..01
&amp;P</oddFooter>
  </headerFooter>
  <rowBreaks count="2" manualBreakCount="2">
    <brk id="31" max="14" man="1"/>
    <brk id="57" max="1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730A7-C5F3-492D-A0AB-ED9EB605C526}">
  <dimension ref="A2:F25"/>
  <sheetViews>
    <sheetView workbookViewId="0">
      <selection activeCell="I17" sqref="I17"/>
    </sheetView>
  </sheetViews>
  <sheetFormatPr defaultRowHeight="14.4" x14ac:dyDescent="0.3"/>
  <cols>
    <col min="1" max="1" width="19.44140625" bestFit="1" customWidth="1"/>
    <col min="2" max="2" width="20.33203125" bestFit="1" customWidth="1"/>
    <col min="3" max="4" width="23.44140625" bestFit="1" customWidth="1"/>
    <col min="5" max="5" width="19.5546875" bestFit="1" customWidth="1"/>
    <col min="6" max="6" width="16" customWidth="1"/>
  </cols>
  <sheetData>
    <row r="2" spans="1:6" x14ac:dyDescent="0.3">
      <c r="A2" s="277" t="s">
        <v>522</v>
      </c>
      <c r="B2" s="277" t="s">
        <v>507</v>
      </c>
      <c r="C2" s="277" t="s">
        <v>508</v>
      </c>
      <c r="D2" s="277" t="s">
        <v>509</v>
      </c>
      <c r="E2" s="277" t="s">
        <v>512</v>
      </c>
      <c r="F2" s="277" t="s">
        <v>513</v>
      </c>
    </row>
    <row r="3" spans="1:6" x14ac:dyDescent="0.3">
      <c r="A3" s="283" t="s">
        <v>346</v>
      </c>
      <c r="B3" s="278" t="s">
        <v>510</v>
      </c>
      <c r="C3" s="279">
        <v>2351000</v>
      </c>
      <c r="D3" s="279">
        <v>169247</v>
      </c>
      <c r="E3" s="279">
        <v>176045</v>
      </c>
      <c r="F3" s="279">
        <f>C3+D3+E3</f>
        <v>2696292</v>
      </c>
    </row>
    <row r="4" spans="1:6" x14ac:dyDescent="0.3">
      <c r="A4" s="283" t="s">
        <v>346</v>
      </c>
      <c r="B4" s="278" t="s">
        <v>511</v>
      </c>
      <c r="C4" s="279">
        <v>1410600</v>
      </c>
      <c r="D4" s="279">
        <v>97333</v>
      </c>
      <c r="E4" s="279">
        <v>164312</v>
      </c>
      <c r="F4" s="279">
        <f>C4+D4+E4</f>
        <v>1672245</v>
      </c>
    </row>
    <row r="5" spans="1:6" x14ac:dyDescent="0.3">
      <c r="A5" s="283" t="s">
        <v>347</v>
      </c>
      <c r="B5" t="s">
        <v>514</v>
      </c>
      <c r="C5" s="280">
        <v>1880800</v>
      </c>
      <c r="D5" s="280">
        <v>93486</v>
      </c>
      <c r="E5" s="280">
        <v>124678</v>
      </c>
      <c r="F5" s="280">
        <f t="shared" ref="F5:F12" si="0">C5+D5+E5</f>
        <v>2098964</v>
      </c>
    </row>
    <row r="6" spans="1:6" x14ac:dyDescent="0.3">
      <c r="A6" s="283" t="s">
        <v>348</v>
      </c>
      <c r="B6" t="s">
        <v>515</v>
      </c>
      <c r="C6" s="280">
        <v>940400</v>
      </c>
      <c r="D6" s="280">
        <v>74956</v>
      </c>
      <c r="E6" s="280">
        <v>115668</v>
      </c>
      <c r="F6" s="280">
        <f t="shared" si="0"/>
        <v>1131024</v>
      </c>
    </row>
    <row r="7" spans="1:6" x14ac:dyDescent="0.3">
      <c r="A7" s="283" t="s">
        <v>349</v>
      </c>
      <c r="B7" t="s">
        <v>516</v>
      </c>
      <c r="C7" s="280">
        <v>1410600</v>
      </c>
      <c r="D7" s="280">
        <v>92041</v>
      </c>
      <c r="E7" s="280">
        <v>156459</v>
      </c>
      <c r="F7" s="280">
        <f t="shared" si="0"/>
        <v>1659100</v>
      </c>
    </row>
    <row r="8" spans="1:6" x14ac:dyDescent="0.3">
      <c r="A8" s="283" t="s">
        <v>350</v>
      </c>
      <c r="B8" t="s">
        <v>517</v>
      </c>
      <c r="C8" s="280">
        <v>1410600</v>
      </c>
      <c r="D8" s="280">
        <v>79040</v>
      </c>
      <c r="E8" s="280">
        <v>45783</v>
      </c>
      <c r="F8" s="280">
        <f t="shared" si="0"/>
        <v>1535423</v>
      </c>
    </row>
    <row r="9" spans="1:6" x14ac:dyDescent="0.3">
      <c r="A9" s="283" t="s">
        <v>351</v>
      </c>
      <c r="B9" t="s">
        <v>518</v>
      </c>
      <c r="C9" s="280">
        <v>940400</v>
      </c>
      <c r="D9" s="280">
        <v>78998</v>
      </c>
      <c r="E9" s="280">
        <v>41278</v>
      </c>
      <c r="F9" s="280">
        <f t="shared" si="0"/>
        <v>1060676</v>
      </c>
    </row>
    <row r="10" spans="1:6" x14ac:dyDescent="0.3">
      <c r="A10" s="283" t="s">
        <v>346</v>
      </c>
      <c r="B10" t="s">
        <v>519</v>
      </c>
      <c r="C10" s="280">
        <v>0</v>
      </c>
      <c r="D10" s="280">
        <v>22696</v>
      </c>
      <c r="E10" s="280">
        <v>0</v>
      </c>
      <c r="F10" s="280">
        <f t="shared" si="0"/>
        <v>22696</v>
      </c>
    </row>
    <row r="11" spans="1:6" x14ac:dyDescent="0.3">
      <c r="A11" s="283" t="s">
        <v>349</v>
      </c>
      <c r="B11" t="s">
        <v>520</v>
      </c>
      <c r="C11" s="280">
        <v>0</v>
      </c>
      <c r="D11" s="280">
        <v>46</v>
      </c>
      <c r="E11" s="280">
        <v>11464</v>
      </c>
      <c r="F11" s="280">
        <f t="shared" si="0"/>
        <v>11510</v>
      </c>
    </row>
    <row r="12" spans="1:6" x14ac:dyDescent="0.3">
      <c r="A12" s="283" t="s">
        <v>349</v>
      </c>
      <c r="B12" t="s">
        <v>521</v>
      </c>
      <c r="C12" s="280">
        <v>0</v>
      </c>
      <c r="D12" s="280">
        <v>0</v>
      </c>
      <c r="E12" s="280">
        <v>11913</v>
      </c>
      <c r="F12" s="280">
        <f t="shared" si="0"/>
        <v>11913</v>
      </c>
    </row>
    <row r="13" spans="1:6" x14ac:dyDescent="0.3">
      <c r="C13" s="282">
        <f>SUM(C3:C12)</f>
        <v>10344400</v>
      </c>
      <c r="D13" s="282">
        <f t="shared" ref="D13:F13" si="1">SUM(D3:D12)</f>
        <v>707843</v>
      </c>
      <c r="E13" s="282">
        <f t="shared" si="1"/>
        <v>847600</v>
      </c>
      <c r="F13" s="282">
        <f t="shared" si="1"/>
        <v>11899843</v>
      </c>
    </row>
    <row r="16" spans="1:6" x14ac:dyDescent="0.3">
      <c r="A16" s="277" t="s">
        <v>522</v>
      </c>
      <c r="B16" s="277" t="s">
        <v>508</v>
      </c>
      <c r="C16" s="277" t="s">
        <v>509</v>
      </c>
      <c r="D16" s="277" t="s">
        <v>512</v>
      </c>
      <c r="E16" s="277" t="s">
        <v>513</v>
      </c>
    </row>
    <row r="17" spans="1:6" x14ac:dyDescent="0.3">
      <c r="A17" s="283" t="s">
        <v>346</v>
      </c>
      <c r="B17" s="284">
        <f>C3+C4+C10</f>
        <v>3761600</v>
      </c>
      <c r="C17" s="284">
        <f>D3+D4+D10</f>
        <v>289276</v>
      </c>
      <c r="D17" s="284">
        <f>E3+E4+E10</f>
        <v>340357</v>
      </c>
      <c r="E17" s="284">
        <f>SUM(B17:D17)</f>
        <v>4391233</v>
      </c>
    </row>
    <row r="18" spans="1:6" x14ac:dyDescent="0.3">
      <c r="A18" s="283" t="s">
        <v>347</v>
      </c>
      <c r="B18" s="281">
        <f t="shared" ref="B18:D19" si="2">C5</f>
        <v>1880800</v>
      </c>
      <c r="C18" s="281">
        <f t="shared" si="2"/>
        <v>93486</v>
      </c>
      <c r="D18" s="281">
        <f t="shared" si="2"/>
        <v>124678</v>
      </c>
      <c r="E18" s="281">
        <f t="shared" ref="E18:E22" si="3">SUM(B18:D18)</f>
        <v>2098964</v>
      </c>
    </row>
    <row r="19" spans="1:6" x14ac:dyDescent="0.3">
      <c r="A19" s="283" t="s">
        <v>348</v>
      </c>
      <c r="B19" s="281">
        <f t="shared" si="2"/>
        <v>940400</v>
      </c>
      <c r="C19" s="281">
        <f t="shared" si="2"/>
        <v>74956</v>
      </c>
      <c r="D19" s="281">
        <f t="shared" si="2"/>
        <v>115668</v>
      </c>
      <c r="E19" s="281">
        <f t="shared" si="3"/>
        <v>1131024</v>
      </c>
    </row>
    <row r="20" spans="1:6" x14ac:dyDescent="0.3">
      <c r="A20" s="283" t="s">
        <v>349</v>
      </c>
      <c r="B20" s="281">
        <f>C7+C11+C12</f>
        <v>1410600</v>
      </c>
      <c r="C20" s="281">
        <f>D7+D11+D12</f>
        <v>92087</v>
      </c>
      <c r="D20" s="281">
        <f>E7+E11+E12</f>
        <v>179836</v>
      </c>
      <c r="E20" s="281">
        <f t="shared" si="3"/>
        <v>1682523</v>
      </c>
    </row>
    <row r="21" spans="1:6" x14ac:dyDescent="0.3">
      <c r="A21" s="283" t="s">
        <v>350</v>
      </c>
      <c r="B21" s="281">
        <f t="shared" ref="B21:D22" si="4">C8</f>
        <v>1410600</v>
      </c>
      <c r="C21" s="281">
        <f t="shared" si="4"/>
        <v>79040</v>
      </c>
      <c r="D21" s="281">
        <f t="shared" si="4"/>
        <v>45783</v>
      </c>
      <c r="E21" s="281">
        <f t="shared" si="3"/>
        <v>1535423</v>
      </c>
    </row>
    <row r="22" spans="1:6" x14ac:dyDescent="0.3">
      <c r="A22" s="283" t="s">
        <v>351</v>
      </c>
      <c r="B22" s="281">
        <f t="shared" si="4"/>
        <v>940400</v>
      </c>
      <c r="C22" s="281">
        <f t="shared" si="4"/>
        <v>78998</v>
      </c>
      <c r="D22" s="281">
        <f t="shared" si="4"/>
        <v>41278</v>
      </c>
      <c r="E22" s="281">
        <f t="shared" si="3"/>
        <v>1060676</v>
      </c>
    </row>
    <row r="23" spans="1:6" x14ac:dyDescent="0.3">
      <c r="B23" s="282">
        <f>SUM(B17:B22)</f>
        <v>10344400</v>
      </c>
      <c r="C23" s="282">
        <f t="shared" ref="C23:E23" si="5">SUM(C17:C22)</f>
        <v>707843</v>
      </c>
      <c r="D23" s="282">
        <f t="shared" si="5"/>
        <v>847600</v>
      </c>
      <c r="E23" s="282">
        <f t="shared" si="5"/>
        <v>11899843</v>
      </c>
    </row>
    <row r="25" spans="1:6" ht="48.75" customHeight="1" x14ac:dyDescent="0.3">
      <c r="A25" s="355" t="s">
        <v>532</v>
      </c>
      <c r="B25" s="355"/>
      <c r="C25" s="355"/>
      <c r="D25" s="355"/>
      <c r="E25" s="355"/>
      <c r="F25" s="355"/>
    </row>
  </sheetData>
  <sheetProtection algorithmName="SHA-512" hashValue="fFfM0pVvPk26N8RX4yDPiTy3XiOwVAxJcKDbAy/bLK7EY07F68qcx5d4ACgpoZj2FmUbXF497ObVybXINgJKwg==" saltValue="G/BzauhXoZZ3hpVltXVCDw==" spinCount="100000" sheet="1" objects="1" scenarios="1"/>
  <mergeCells count="1">
    <mergeCell ref="A25:F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DCFD9-DB79-443E-B258-0F3396943297}">
  <sheetPr>
    <pageSetUpPr fitToPage="1"/>
  </sheetPr>
  <dimension ref="A1:D46"/>
  <sheetViews>
    <sheetView zoomScaleNormal="100" workbookViewId="0">
      <selection sqref="A1:C1"/>
    </sheetView>
  </sheetViews>
  <sheetFormatPr defaultColWidth="8.88671875" defaultRowHeight="14.4" x14ac:dyDescent="0.3"/>
  <cols>
    <col min="1" max="1" width="14.88671875" style="98" customWidth="1"/>
    <col min="2" max="2" width="90.109375" style="98" customWidth="1"/>
    <col min="3" max="3" width="27" style="98" customWidth="1"/>
    <col min="4" max="16384" width="8.88671875" style="98"/>
  </cols>
  <sheetData>
    <row r="1" spans="1:4" ht="25.8" x14ac:dyDescent="0.5">
      <c r="A1" s="317" t="s">
        <v>299</v>
      </c>
      <c r="B1" s="317"/>
      <c r="C1" s="317"/>
      <c r="D1" s="97"/>
    </row>
    <row r="2" spans="1:4" ht="9.75" customHeight="1" thickBot="1" x14ac:dyDescent="0.35"/>
    <row r="3" spans="1:4" ht="18.600000000000001" thickBot="1" x14ac:dyDescent="0.4">
      <c r="A3" s="99" t="s">
        <v>300</v>
      </c>
      <c r="B3" s="100" t="s">
        <v>301</v>
      </c>
      <c r="C3" s="101" t="s">
        <v>25</v>
      </c>
    </row>
    <row r="4" spans="1:4" ht="15.6" x14ac:dyDescent="0.3">
      <c r="A4" s="102">
        <v>1</v>
      </c>
      <c r="B4" s="103" t="s">
        <v>302</v>
      </c>
      <c r="C4" s="104">
        <v>3724665</v>
      </c>
    </row>
    <row r="5" spans="1:4" ht="28.8" x14ac:dyDescent="0.3">
      <c r="A5" s="105"/>
      <c r="B5" s="106" t="s">
        <v>303</v>
      </c>
      <c r="C5" s="107"/>
    </row>
    <row r="6" spans="1:4" x14ac:dyDescent="0.3">
      <c r="A6" s="105"/>
      <c r="B6" s="108" t="s">
        <v>304</v>
      </c>
      <c r="C6" s="107">
        <v>3453453</v>
      </c>
    </row>
    <row r="7" spans="1:4" x14ac:dyDescent="0.3">
      <c r="A7" s="105"/>
      <c r="B7" s="108" t="s">
        <v>305</v>
      </c>
      <c r="C7" s="107">
        <v>271212</v>
      </c>
    </row>
    <row r="8" spans="1:4" ht="8.1" customHeight="1" x14ac:dyDescent="0.3">
      <c r="A8" s="105"/>
      <c r="B8" s="109"/>
      <c r="C8" s="107"/>
    </row>
    <row r="9" spans="1:4" ht="15.6" x14ac:dyDescent="0.3">
      <c r="A9" s="110">
        <v>2</v>
      </c>
      <c r="B9" s="111" t="s">
        <v>306</v>
      </c>
      <c r="C9" s="112">
        <v>1041330</v>
      </c>
    </row>
    <row r="10" spans="1:4" ht="31.5" customHeight="1" x14ac:dyDescent="0.3">
      <c r="A10" s="105"/>
      <c r="B10" s="106" t="s">
        <v>307</v>
      </c>
      <c r="C10" s="107"/>
    </row>
    <row r="11" spans="1:4" x14ac:dyDescent="0.3">
      <c r="A11" s="105"/>
      <c r="B11" s="108" t="s">
        <v>304</v>
      </c>
      <c r="C11" s="107">
        <v>1041330</v>
      </c>
    </row>
    <row r="12" spans="1:4" ht="8.1" customHeight="1" x14ac:dyDescent="0.3">
      <c r="A12" s="105"/>
      <c r="B12" s="106"/>
      <c r="C12" s="107"/>
    </row>
    <row r="13" spans="1:4" ht="15.6" x14ac:dyDescent="0.3">
      <c r="A13" s="110">
        <v>3</v>
      </c>
      <c r="B13" s="111" t="s">
        <v>308</v>
      </c>
      <c r="C13" s="112">
        <v>4283027</v>
      </c>
    </row>
    <row r="14" spans="1:4" ht="15.75" customHeight="1" x14ac:dyDescent="0.3">
      <c r="A14" s="105"/>
      <c r="B14" s="106" t="s">
        <v>309</v>
      </c>
      <c r="C14" s="107"/>
    </row>
    <row r="15" spans="1:4" x14ac:dyDescent="0.3">
      <c r="A15" s="105"/>
      <c r="B15" s="108" t="s">
        <v>304</v>
      </c>
      <c r="C15" s="107">
        <v>3904569</v>
      </c>
    </row>
    <row r="16" spans="1:4" x14ac:dyDescent="0.3">
      <c r="A16" s="105"/>
      <c r="B16" s="108" t="s">
        <v>310</v>
      </c>
      <c r="C16" s="107">
        <v>99041</v>
      </c>
    </row>
    <row r="17" spans="1:3" x14ac:dyDescent="0.3">
      <c r="A17" s="105"/>
      <c r="B17" s="108" t="s">
        <v>305</v>
      </c>
      <c r="C17" s="107">
        <v>106780</v>
      </c>
    </row>
    <row r="18" spans="1:3" x14ac:dyDescent="0.3">
      <c r="A18" s="105"/>
      <c r="B18" s="108" t="s">
        <v>311</v>
      </c>
      <c r="C18" s="107">
        <v>172637</v>
      </c>
    </row>
    <row r="19" spans="1:3" ht="8.1" customHeight="1" x14ac:dyDescent="0.3">
      <c r="A19" s="105"/>
      <c r="B19" s="106"/>
      <c r="C19" s="107"/>
    </row>
    <row r="20" spans="1:3" ht="15.6" x14ac:dyDescent="0.3">
      <c r="A20" s="110">
        <v>4</v>
      </c>
      <c r="B20" s="111" t="s">
        <v>335</v>
      </c>
      <c r="C20" s="112">
        <v>670838</v>
      </c>
    </row>
    <row r="21" spans="1:3" ht="28.8" x14ac:dyDescent="0.3">
      <c r="A21" s="105"/>
      <c r="B21" s="106" t="s">
        <v>336</v>
      </c>
      <c r="C21" s="107"/>
    </row>
    <row r="22" spans="1:3" x14ac:dyDescent="0.3">
      <c r="A22" s="105"/>
      <c r="B22" s="108" t="s">
        <v>304</v>
      </c>
      <c r="C22" s="107">
        <v>670838</v>
      </c>
    </row>
    <row r="23" spans="1:3" ht="8.1" customHeight="1" x14ac:dyDescent="0.3">
      <c r="A23" s="105"/>
      <c r="B23" s="106"/>
      <c r="C23" s="107"/>
    </row>
    <row r="24" spans="1:3" ht="15.6" x14ac:dyDescent="0.3">
      <c r="A24" s="110">
        <v>5</v>
      </c>
      <c r="B24" s="111" t="s">
        <v>337</v>
      </c>
      <c r="C24" s="112">
        <v>248694</v>
      </c>
    </row>
    <row r="25" spans="1:3" ht="17.25" customHeight="1" x14ac:dyDescent="0.3">
      <c r="A25" s="113"/>
      <c r="B25" s="106" t="s">
        <v>312</v>
      </c>
      <c r="C25" s="107"/>
    </row>
    <row r="26" spans="1:3" x14ac:dyDescent="0.3">
      <c r="A26" s="113"/>
      <c r="B26" s="108" t="s">
        <v>304</v>
      </c>
      <c r="C26" s="107">
        <v>209296</v>
      </c>
    </row>
    <row r="27" spans="1:3" x14ac:dyDescent="0.3">
      <c r="A27" s="113"/>
      <c r="B27" s="108" t="s">
        <v>310</v>
      </c>
      <c r="C27" s="107">
        <v>39398</v>
      </c>
    </row>
    <row r="28" spans="1:3" x14ac:dyDescent="0.3">
      <c r="A28" s="113"/>
      <c r="B28" s="106"/>
      <c r="C28" s="107"/>
    </row>
    <row r="29" spans="1:3" ht="15.6" x14ac:dyDescent="0.3">
      <c r="A29" s="110">
        <v>6</v>
      </c>
      <c r="B29" s="111" t="s">
        <v>313</v>
      </c>
      <c r="C29" s="112">
        <v>85761</v>
      </c>
    </row>
    <row r="30" spans="1:3" x14ac:dyDescent="0.3">
      <c r="A30" s="113"/>
      <c r="B30" s="114" t="s">
        <v>314</v>
      </c>
      <c r="C30" s="107"/>
    </row>
    <row r="31" spans="1:3" x14ac:dyDescent="0.3">
      <c r="A31" s="113"/>
      <c r="B31" s="108" t="s">
        <v>304</v>
      </c>
      <c r="C31" s="107">
        <v>85761</v>
      </c>
    </row>
    <row r="32" spans="1:3" ht="8.1" customHeight="1" x14ac:dyDescent="0.3">
      <c r="A32" s="113"/>
      <c r="B32" s="114"/>
      <c r="C32" s="107"/>
    </row>
    <row r="33" spans="1:3" ht="15.6" x14ac:dyDescent="0.3">
      <c r="A33" s="110">
        <v>7</v>
      </c>
      <c r="B33" s="111" t="s">
        <v>315</v>
      </c>
      <c r="C33" s="112">
        <v>408775</v>
      </c>
    </row>
    <row r="34" spans="1:3" x14ac:dyDescent="0.3">
      <c r="A34" s="105"/>
      <c r="B34" s="106" t="s">
        <v>316</v>
      </c>
      <c r="C34" s="107"/>
    </row>
    <row r="35" spans="1:3" x14ac:dyDescent="0.3">
      <c r="A35" s="105"/>
      <c r="B35" s="108" t="s">
        <v>304</v>
      </c>
      <c r="C35" s="107">
        <v>208775</v>
      </c>
    </row>
    <row r="36" spans="1:3" x14ac:dyDescent="0.3">
      <c r="A36" s="105"/>
      <c r="B36" s="108" t="s">
        <v>310</v>
      </c>
      <c r="C36" s="107">
        <v>200000</v>
      </c>
    </row>
    <row r="37" spans="1:3" ht="8.1" customHeight="1" x14ac:dyDescent="0.3">
      <c r="A37" s="105"/>
      <c r="B37" s="106"/>
      <c r="C37" s="107"/>
    </row>
    <row r="38" spans="1:3" ht="16.2" thickBot="1" x14ac:dyDescent="0.35">
      <c r="A38" s="115"/>
      <c r="B38" s="116"/>
      <c r="C38" s="117">
        <f>C4+C9+C13+C20+C24+C29+C33</f>
        <v>10463090</v>
      </c>
    </row>
    <row r="42" spans="1:3" x14ac:dyDescent="0.3">
      <c r="B42" s="108" t="s">
        <v>304</v>
      </c>
      <c r="C42" s="118">
        <f>C6+C11+C15+C22+C26+C31+C35</f>
        <v>9574022</v>
      </c>
    </row>
    <row r="43" spans="1:3" x14ac:dyDescent="0.3">
      <c r="B43" s="108" t="s">
        <v>310</v>
      </c>
      <c r="C43" s="118">
        <f>C16+C27+C36</f>
        <v>338439</v>
      </c>
    </row>
    <row r="44" spans="1:3" x14ac:dyDescent="0.3">
      <c r="B44" s="108" t="s">
        <v>305</v>
      </c>
      <c r="C44" s="118">
        <f>C7+C17</f>
        <v>377992</v>
      </c>
    </row>
    <row r="45" spans="1:3" x14ac:dyDescent="0.3">
      <c r="B45" s="108" t="s">
        <v>311</v>
      </c>
      <c r="C45" s="118">
        <f>C18</f>
        <v>172637</v>
      </c>
    </row>
    <row r="46" spans="1:3" ht="15" thickBot="1" x14ac:dyDescent="0.35">
      <c r="C46" s="119">
        <f>SUM(C42:C45)</f>
        <v>10463090</v>
      </c>
    </row>
  </sheetData>
  <sheetProtection algorithmName="SHA-512" hashValue="HkgMU6V9sdXWhNFC+LdtWi4CD4/HMsP2yZDqYJD/sJgwu3VGRF+EezvlVOK2t4eQaTEhD2ajM8k2LzsVlFYRvA==" saltValue="PaZwuI4r5g9VXJ6C8xOMDw==" spinCount="100000" sheet="1" objects="1" scenarios="1"/>
  <mergeCells count="1">
    <mergeCell ref="A1:C1"/>
  </mergeCells>
  <printOptions horizontalCentered="1"/>
  <pageMargins left="0.7" right="0.7" top="0.75" bottom="0.75" header="0.3" footer="0.3"/>
  <pageSetup scale="84"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7504E-E563-4BE5-8370-347DDD272624}">
  <sheetPr>
    <pageSetUpPr fitToPage="1"/>
  </sheetPr>
  <dimension ref="A1:H24"/>
  <sheetViews>
    <sheetView zoomScaleNormal="100" workbookViewId="0">
      <selection activeCell="C19" sqref="C19"/>
    </sheetView>
  </sheetViews>
  <sheetFormatPr defaultRowHeight="14.4" x14ac:dyDescent="0.3"/>
  <cols>
    <col min="1" max="1" width="49.33203125" bestFit="1" customWidth="1"/>
    <col min="2" max="2" width="16.5546875" bestFit="1" customWidth="1"/>
    <col min="3" max="3" width="19.88671875" bestFit="1" customWidth="1"/>
    <col min="4" max="4" width="18.44140625" bestFit="1" customWidth="1"/>
    <col min="5" max="5" width="42.88671875" bestFit="1" customWidth="1"/>
    <col min="7" max="7" width="22.44140625" bestFit="1" customWidth="1"/>
    <col min="8" max="8" width="15.44140625" bestFit="1" customWidth="1"/>
  </cols>
  <sheetData>
    <row r="1" spans="1:8" x14ac:dyDescent="0.3">
      <c r="A1" s="1" t="s">
        <v>0</v>
      </c>
      <c r="B1" s="4" t="s">
        <v>11</v>
      </c>
      <c r="C1" s="4" t="s">
        <v>12</v>
      </c>
      <c r="D1" s="4" t="s">
        <v>13</v>
      </c>
      <c r="E1" s="4" t="s">
        <v>14</v>
      </c>
      <c r="G1" s="6" t="s">
        <v>15</v>
      </c>
      <c r="H1" s="8">
        <v>244592914253</v>
      </c>
    </row>
    <row r="2" spans="1:8" x14ac:dyDescent="0.3">
      <c r="A2" s="2" t="s">
        <v>2</v>
      </c>
      <c r="B2" s="25">
        <v>0.14780599999999999</v>
      </c>
      <c r="C2" s="29">
        <f>C16+C21+C23</f>
        <v>401142066</v>
      </c>
      <c r="D2" s="29"/>
      <c r="E2" s="26"/>
      <c r="G2" s="6" t="s">
        <v>17</v>
      </c>
      <c r="H2" s="9">
        <v>39919905.810000002</v>
      </c>
    </row>
    <row r="3" spans="1:8" x14ac:dyDescent="0.3">
      <c r="A3" s="12" t="s">
        <v>1</v>
      </c>
      <c r="B3" s="13">
        <v>0.149343</v>
      </c>
      <c r="C3" s="28">
        <f>C17+C21+C23</f>
        <v>405312305</v>
      </c>
      <c r="D3" s="28">
        <f>C3-C2</f>
        <v>4170239</v>
      </c>
      <c r="E3" s="15" t="s">
        <v>254</v>
      </c>
      <c r="G3" s="6" t="s">
        <v>16</v>
      </c>
      <c r="H3" s="7">
        <f>((((H1/100)*B3)+H2)/B3)*100</f>
        <v>271323263723.68158</v>
      </c>
    </row>
    <row r="4" spans="1:8" x14ac:dyDescent="0.3">
      <c r="A4" s="2" t="s">
        <v>3</v>
      </c>
      <c r="B4" s="5">
        <v>0.10703</v>
      </c>
      <c r="C4" s="27"/>
      <c r="E4" s="11"/>
    </row>
    <row r="5" spans="1:8" x14ac:dyDescent="0.3">
      <c r="A5" s="12" t="s">
        <v>4</v>
      </c>
      <c r="B5" s="13">
        <v>0.10722</v>
      </c>
      <c r="C5" s="28"/>
      <c r="D5" s="16"/>
      <c r="E5" s="15"/>
      <c r="G5" s="6" t="s">
        <v>18</v>
      </c>
      <c r="H5" s="8">
        <v>7747171378</v>
      </c>
    </row>
    <row r="6" spans="1:8" x14ac:dyDescent="0.3">
      <c r="A6" s="2" t="s">
        <v>5</v>
      </c>
      <c r="B6" s="5">
        <v>0.110972</v>
      </c>
      <c r="C6" s="27"/>
      <c r="E6" s="11"/>
      <c r="G6" s="27"/>
      <c r="H6" s="27"/>
    </row>
    <row r="7" spans="1:8" x14ac:dyDescent="0.3">
      <c r="A7" s="12" t="s">
        <v>6</v>
      </c>
      <c r="B7" s="17">
        <v>4.1849999999999998E-2</v>
      </c>
      <c r="C7" s="28"/>
      <c r="D7" s="16"/>
      <c r="E7" s="15"/>
      <c r="G7" s="27"/>
      <c r="H7" s="27"/>
    </row>
    <row r="8" spans="1:8" x14ac:dyDescent="0.3">
      <c r="A8" s="2" t="s">
        <v>7</v>
      </c>
      <c r="B8" s="5">
        <f>B6+B7</f>
        <v>0.15282200000000001</v>
      </c>
      <c r="C8" s="27">
        <f>C18+C21+C23</f>
        <v>414751642</v>
      </c>
      <c r="D8" s="27">
        <f>C8-C2</f>
        <v>13609576</v>
      </c>
      <c r="E8" s="11" t="s">
        <v>19</v>
      </c>
      <c r="G8" s="27"/>
      <c r="H8" s="27"/>
    </row>
    <row r="9" spans="1:8" x14ac:dyDescent="0.3">
      <c r="A9" s="18" t="s">
        <v>8</v>
      </c>
      <c r="B9" s="13">
        <v>3.6120000000000002E-3</v>
      </c>
      <c r="C9" s="28"/>
      <c r="D9" s="16"/>
      <c r="E9" s="15"/>
      <c r="G9" s="27"/>
    </row>
    <row r="10" spans="1:8" x14ac:dyDescent="0.3">
      <c r="A10" s="3"/>
      <c r="B10" s="5"/>
      <c r="C10" s="27"/>
      <c r="E10" s="11"/>
      <c r="G10" s="27"/>
    </row>
    <row r="11" spans="1:8" x14ac:dyDescent="0.3">
      <c r="A11" s="1" t="s">
        <v>9</v>
      </c>
      <c r="B11" s="4" t="s">
        <v>11</v>
      </c>
      <c r="C11" s="4" t="s">
        <v>12</v>
      </c>
      <c r="D11" s="4" t="s">
        <v>13</v>
      </c>
      <c r="E11" s="4" t="s">
        <v>14</v>
      </c>
      <c r="G11" s="27"/>
    </row>
    <row r="12" spans="1:8" x14ac:dyDescent="0.3">
      <c r="A12" s="2" t="s">
        <v>10</v>
      </c>
      <c r="B12" s="5">
        <f>B8+B9</f>
        <v>0.15643400000000002</v>
      </c>
      <c r="C12" s="27">
        <f>C19+C21+C23</f>
        <v>424551838</v>
      </c>
      <c r="D12" s="10">
        <f>C12-C2</f>
        <v>23409772</v>
      </c>
      <c r="E12" s="11" t="s">
        <v>20</v>
      </c>
      <c r="G12" s="27"/>
      <c r="H12" s="27"/>
    </row>
    <row r="13" spans="1:8" x14ac:dyDescent="0.3">
      <c r="G13" s="27"/>
    </row>
    <row r="14" spans="1:8" x14ac:dyDescent="0.3">
      <c r="A14" s="1" t="s">
        <v>237</v>
      </c>
      <c r="B14" s="4" t="s">
        <v>11</v>
      </c>
      <c r="C14" s="4" t="s">
        <v>12</v>
      </c>
      <c r="D14" s="4" t="s">
        <v>13</v>
      </c>
      <c r="E14" s="4" t="s">
        <v>14</v>
      </c>
      <c r="G14" s="27"/>
    </row>
    <row r="15" spans="1:8" x14ac:dyDescent="0.3">
      <c r="A15" s="24" t="s">
        <v>238</v>
      </c>
      <c r="B15" s="5"/>
      <c r="C15" s="10"/>
      <c r="E15" s="11"/>
      <c r="G15" s="27"/>
    </row>
    <row r="16" spans="1:8" x14ac:dyDescent="0.3">
      <c r="A16" s="20" t="s">
        <v>239</v>
      </c>
      <c r="B16" s="13">
        <f>B2-$B$21-$B$23</f>
        <v>0.105156</v>
      </c>
      <c r="C16" s="28">
        <f>(ROUNDUP((($H$3/100)*B16)*0.9885,0))+(ROUNDUP((($H$3/100)*B16)*0.0115,0))+110000</f>
        <v>285422692</v>
      </c>
      <c r="D16" s="14"/>
      <c r="E16" s="15"/>
      <c r="G16" s="27"/>
      <c r="H16" s="27"/>
    </row>
    <row r="17" spans="1:8" x14ac:dyDescent="0.3">
      <c r="A17" s="21" t="s">
        <v>1</v>
      </c>
      <c r="B17" s="5">
        <f>B3-$B$21-$B$23</f>
        <v>0.10669300000000001</v>
      </c>
      <c r="C17" s="27">
        <f>(ROUNDUP((($H$3/100)*B17)*0.9885,0))+(ROUNDUP((($H$3/100)*B17)*0.0115,0))+110000</f>
        <v>289592931</v>
      </c>
      <c r="D17" s="27">
        <f>C17-C16</f>
        <v>4170239</v>
      </c>
      <c r="E17" s="26" t="s">
        <v>254</v>
      </c>
      <c r="G17" s="27"/>
      <c r="H17" s="27"/>
    </row>
    <row r="18" spans="1:8" x14ac:dyDescent="0.3">
      <c r="A18" s="20" t="s">
        <v>7</v>
      </c>
      <c r="B18" s="13">
        <f>B8-$B$21-$B$23</f>
        <v>0.11017200000000002</v>
      </c>
      <c r="C18" s="28">
        <f>(ROUNDUP((($H$3/100)*B18)*0.9885,0))+(ROUNDUP((($H$3/100)*B18)*0.0115,0))+110000</f>
        <v>299032268</v>
      </c>
      <c r="D18" s="28">
        <f>C18-C16</f>
        <v>13609576</v>
      </c>
      <c r="E18" s="15" t="s">
        <v>19</v>
      </c>
      <c r="G18" s="27"/>
      <c r="H18" s="27"/>
    </row>
    <row r="19" spans="1:8" x14ac:dyDescent="0.3">
      <c r="A19" s="22" t="s">
        <v>240</v>
      </c>
      <c r="B19" s="5">
        <f>B12-$B$21-$B$23</f>
        <v>0.11378400000000002</v>
      </c>
      <c r="C19" s="27">
        <f>(ROUNDUP((($H$3/100)*B19)*0.9885,0))+(ROUNDUP((($H$3/100)*B19)*0.0115,0))+110000</f>
        <v>308832464</v>
      </c>
      <c r="D19" s="27">
        <f>C19-C16</f>
        <v>23409772</v>
      </c>
      <c r="E19" s="11" t="s">
        <v>20</v>
      </c>
      <c r="G19" s="27"/>
      <c r="H19" s="27"/>
    </row>
    <row r="20" spans="1:8" x14ac:dyDescent="0.3">
      <c r="A20" s="23"/>
      <c r="B20" s="16"/>
      <c r="C20" s="28"/>
      <c r="D20" s="16"/>
      <c r="E20" s="16"/>
      <c r="G20" s="27"/>
    </row>
    <row r="21" spans="1:8" x14ac:dyDescent="0.3">
      <c r="A21" s="24" t="s">
        <v>241</v>
      </c>
      <c r="B21" s="5">
        <v>8.0000000000000004E-4</v>
      </c>
      <c r="C21" s="27">
        <f>(ROUNDUP((($H$3/100)*B21)*0.9885,0))+(ROUNDUP((($H$3/100)*B21)*0.0115,0))</f>
        <v>2170587</v>
      </c>
      <c r="E21" s="11"/>
      <c r="G21" s="27"/>
      <c r="H21" s="27"/>
    </row>
    <row r="22" spans="1:8" x14ac:dyDescent="0.3">
      <c r="A22" s="23"/>
      <c r="B22" s="16"/>
      <c r="C22" s="28"/>
      <c r="D22" s="16"/>
      <c r="E22" s="16"/>
      <c r="G22" s="27"/>
    </row>
    <row r="23" spans="1:8" x14ac:dyDescent="0.3">
      <c r="A23" s="24" t="s">
        <v>242</v>
      </c>
      <c r="B23" s="25">
        <v>4.1849999999999998E-2</v>
      </c>
      <c r="C23" s="27">
        <f>(ROUNDUP((($H$3/100)*B23)*0.9885,0))+(ROUNDUP((($H$3/100)*B23)*0.0115,0))</f>
        <v>113548787</v>
      </c>
      <c r="D23" s="19"/>
      <c r="E23" s="26"/>
      <c r="G23" s="27"/>
      <c r="H23" s="27"/>
    </row>
    <row r="24" spans="1:8" x14ac:dyDescent="0.3">
      <c r="A24" s="23"/>
      <c r="B24" s="16"/>
      <c r="C24" s="28"/>
      <c r="D24" s="16"/>
      <c r="E24" s="16"/>
    </row>
  </sheetData>
  <sheetProtection algorithmName="SHA-512" hashValue="dZZOoYmpxB/ofh7bdMeY35LbrTmj3y/15ZXB3++7QVk18omEPDM+Klt9SIumIw9yfIHmiAnR8aXXbIuJjWzKmA==" saltValue="oZWrVMgqZxHNqV1bGmW9pg==" spinCount="100000" sheet="1" objects="1" scenarios="1"/>
  <pageMargins left="0.25" right="0.25" top="0.75" bottom="0.75" header="0.3" footer="0.3"/>
  <pageSetup scale="91" fitToHeight="0" orientation="landscape" r:id="rId1"/>
  <headerFooter>
    <oddHeader>&amp;C&amp;14COLLIN COUNTY FY 2027 TAX RATES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09424-02E0-432B-9E7C-A707E55A9FC1}">
  <sheetPr>
    <tabColor theme="4" tint="0.39997558519241921"/>
    <pageSetUpPr fitToPage="1"/>
  </sheetPr>
  <dimension ref="A1:O198"/>
  <sheetViews>
    <sheetView zoomScaleNormal="100" workbookViewId="0">
      <pane ySplit="2" topLeftCell="A3" activePane="bottomLeft" state="frozen"/>
      <selection pane="bottomLeft" activeCell="M5" sqref="M5"/>
    </sheetView>
  </sheetViews>
  <sheetFormatPr defaultColWidth="8.88671875" defaultRowHeight="14.4" x14ac:dyDescent="0.3"/>
  <cols>
    <col min="1" max="1" width="6" style="30" bestFit="1" customWidth="1"/>
    <col min="2" max="2" width="5" style="30" bestFit="1" customWidth="1"/>
    <col min="3" max="3" width="10.6640625" style="30" bestFit="1" customWidth="1"/>
    <col min="4" max="4" width="6.6640625" style="30" bestFit="1" customWidth="1"/>
    <col min="5" max="5" width="53.44140625" style="30" bestFit="1" customWidth="1"/>
    <col min="6" max="6" width="7.33203125" style="30" bestFit="1" customWidth="1"/>
    <col min="7" max="7" width="48" style="30" bestFit="1" customWidth="1"/>
    <col min="8" max="8" width="10.5546875" style="30" customWidth="1"/>
    <col min="9" max="9" width="13.5546875" style="30" bestFit="1" customWidth="1"/>
    <col min="10" max="10" width="11.33203125" style="30" bestFit="1" customWidth="1"/>
    <col min="11" max="11" width="13.5546875" style="30" bestFit="1" customWidth="1"/>
    <col min="12" max="12" width="9.109375" style="30" bestFit="1" customWidth="1"/>
    <col min="13" max="13" width="31.6640625" style="30" customWidth="1"/>
    <col min="14" max="14" width="8.88671875" style="30"/>
    <col min="15" max="15" width="8.88671875" style="31"/>
    <col min="16" max="16384" width="8.88671875" style="30"/>
  </cols>
  <sheetData>
    <row r="1" spans="1:15" ht="18" x14ac:dyDescent="0.35">
      <c r="A1" s="324" t="s">
        <v>282</v>
      </c>
      <c r="B1" s="325"/>
      <c r="C1" s="325"/>
      <c r="D1" s="325"/>
      <c r="E1" s="325"/>
      <c r="F1" s="325"/>
      <c r="G1" s="325"/>
      <c r="H1" s="325"/>
      <c r="I1" s="325"/>
      <c r="J1" s="325"/>
      <c r="K1" s="325"/>
      <c r="L1" s="325"/>
      <c r="M1" s="326"/>
      <c r="O1" s="31" t="s">
        <v>182</v>
      </c>
    </row>
    <row r="2" spans="1:15" s="32" customFormat="1" ht="6" customHeight="1" x14ac:dyDescent="0.3">
      <c r="A2" s="74"/>
      <c r="B2" s="74"/>
      <c r="C2" s="74"/>
      <c r="D2" s="74"/>
      <c r="E2" s="75"/>
      <c r="F2" s="76"/>
      <c r="G2" s="75"/>
      <c r="H2" s="77"/>
      <c r="I2" s="78"/>
      <c r="J2" s="78"/>
      <c r="K2" s="78"/>
      <c r="L2" s="78"/>
      <c r="M2" s="78"/>
      <c r="O2" s="33" t="s">
        <v>231</v>
      </c>
    </row>
    <row r="3" spans="1:15" ht="18" x14ac:dyDescent="0.35">
      <c r="A3" s="313" t="s">
        <v>266</v>
      </c>
      <c r="B3" s="314"/>
      <c r="C3" s="314"/>
      <c r="D3" s="314"/>
      <c r="E3" s="314"/>
      <c r="F3" s="314"/>
      <c r="G3" s="314"/>
      <c r="H3" s="314"/>
      <c r="I3" s="314"/>
      <c r="J3" s="314"/>
      <c r="K3" s="314"/>
      <c r="L3" s="314"/>
      <c r="M3" s="315"/>
    </row>
    <row r="4" spans="1:15" ht="31.8" x14ac:dyDescent="0.3">
      <c r="A4" s="34" t="s">
        <v>181</v>
      </c>
      <c r="B4" s="35" t="s">
        <v>21</v>
      </c>
      <c r="C4" s="35" t="s">
        <v>177</v>
      </c>
      <c r="D4" s="35" t="s">
        <v>22</v>
      </c>
      <c r="E4" s="36" t="s">
        <v>23</v>
      </c>
      <c r="F4" s="37" t="s">
        <v>180</v>
      </c>
      <c r="G4" s="36" t="s">
        <v>24</v>
      </c>
      <c r="H4" s="38" t="s">
        <v>26</v>
      </c>
      <c r="I4" s="39" t="s">
        <v>27</v>
      </c>
      <c r="J4" s="39" t="s">
        <v>28</v>
      </c>
      <c r="K4" s="39" t="s">
        <v>29</v>
      </c>
      <c r="L4" s="93" t="s">
        <v>178</v>
      </c>
      <c r="M4" s="40" t="s">
        <v>179</v>
      </c>
    </row>
    <row r="5" spans="1:15" x14ac:dyDescent="0.3">
      <c r="A5" s="41">
        <v>1</v>
      </c>
      <c r="B5" s="42" t="s">
        <v>30</v>
      </c>
      <c r="C5" s="43" t="s">
        <v>31</v>
      </c>
      <c r="D5" s="43">
        <v>1</v>
      </c>
      <c r="E5" s="44" t="s">
        <v>32</v>
      </c>
      <c r="F5" s="43">
        <v>1</v>
      </c>
      <c r="G5" s="44" t="s">
        <v>33</v>
      </c>
      <c r="H5" s="45" t="s">
        <v>34</v>
      </c>
      <c r="I5" s="46">
        <v>0</v>
      </c>
      <c r="J5" s="47">
        <v>400000</v>
      </c>
      <c r="K5" s="46">
        <f t="shared" ref="K5:K60" si="0">I5+J5</f>
        <v>400000</v>
      </c>
      <c r="L5" s="83"/>
      <c r="M5" s="84"/>
      <c r="O5" s="31" t="s">
        <v>489</v>
      </c>
    </row>
    <row r="6" spans="1:15" x14ac:dyDescent="0.3">
      <c r="A6" s="41">
        <v>5</v>
      </c>
      <c r="B6" s="42" t="s">
        <v>30</v>
      </c>
      <c r="C6" s="43" t="s">
        <v>35</v>
      </c>
      <c r="D6" s="43">
        <v>1</v>
      </c>
      <c r="E6" s="44" t="s">
        <v>36</v>
      </c>
      <c r="F6" s="43">
        <v>1</v>
      </c>
      <c r="G6" s="48" t="s">
        <v>37</v>
      </c>
      <c r="H6" s="45" t="s">
        <v>34</v>
      </c>
      <c r="I6" s="46">
        <v>12763</v>
      </c>
      <c r="J6" s="47">
        <v>158079</v>
      </c>
      <c r="K6" s="46">
        <f t="shared" si="0"/>
        <v>170842</v>
      </c>
      <c r="L6" s="83"/>
      <c r="M6" s="85"/>
      <c r="O6" s="31" t="s">
        <v>490</v>
      </c>
    </row>
    <row r="7" spans="1:15" x14ac:dyDescent="0.3">
      <c r="A7" s="41">
        <v>6</v>
      </c>
      <c r="B7" s="42" t="s">
        <v>30</v>
      </c>
      <c r="C7" s="43" t="s">
        <v>35</v>
      </c>
      <c r="D7" s="43">
        <v>1</v>
      </c>
      <c r="E7" s="44" t="s">
        <v>36</v>
      </c>
      <c r="F7" s="43">
        <v>2</v>
      </c>
      <c r="G7" s="48" t="s">
        <v>38</v>
      </c>
      <c r="H7" s="45" t="s">
        <v>34</v>
      </c>
      <c r="I7" s="46">
        <v>7206</v>
      </c>
      <c r="J7" s="47">
        <v>368205</v>
      </c>
      <c r="K7" s="46">
        <f t="shared" si="0"/>
        <v>375411</v>
      </c>
      <c r="L7" s="83"/>
      <c r="M7" s="85"/>
      <c r="O7" s="31" t="s">
        <v>490</v>
      </c>
    </row>
    <row r="8" spans="1:15" x14ac:dyDescent="0.3">
      <c r="A8" s="41">
        <v>6</v>
      </c>
      <c r="B8" s="42" t="s">
        <v>30</v>
      </c>
      <c r="C8" s="43" t="s">
        <v>35</v>
      </c>
      <c r="D8" s="43">
        <v>1</v>
      </c>
      <c r="E8" s="44" t="s">
        <v>36</v>
      </c>
      <c r="F8" s="43">
        <v>4</v>
      </c>
      <c r="G8" s="48" t="s">
        <v>39</v>
      </c>
      <c r="H8" s="45" t="s">
        <v>34</v>
      </c>
      <c r="I8" s="46">
        <v>237623</v>
      </c>
      <c r="J8" s="47">
        <v>494232</v>
      </c>
      <c r="K8" s="46">
        <f t="shared" si="0"/>
        <v>731855</v>
      </c>
      <c r="L8" s="83"/>
      <c r="M8" s="85"/>
      <c r="O8" s="31" t="s">
        <v>490</v>
      </c>
    </row>
    <row r="9" spans="1:15" x14ac:dyDescent="0.3">
      <c r="A9" s="41">
        <v>6</v>
      </c>
      <c r="B9" s="42" t="s">
        <v>30</v>
      </c>
      <c r="C9" s="43" t="s">
        <v>35</v>
      </c>
      <c r="D9" s="43">
        <v>1</v>
      </c>
      <c r="E9" s="44" t="s">
        <v>36</v>
      </c>
      <c r="F9" s="43">
        <v>5</v>
      </c>
      <c r="G9" s="48" t="s">
        <v>40</v>
      </c>
      <c r="H9" s="45" t="s">
        <v>34</v>
      </c>
      <c r="I9" s="46">
        <v>114962</v>
      </c>
      <c r="J9" s="47">
        <v>296008</v>
      </c>
      <c r="K9" s="46">
        <f t="shared" si="0"/>
        <v>410970</v>
      </c>
      <c r="L9" s="83"/>
      <c r="M9" s="85"/>
      <c r="O9" s="31" t="s">
        <v>490</v>
      </c>
    </row>
    <row r="10" spans="1:15" x14ac:dyDescent="0.3">
      <c r="A10" s="41">
        <v>6</v>
      </c>
      <c r="B10" s="42" t="s">
        <v>30</v>
      </c>
      <c r="C10" s="43" t="s">
        <v>35</v>
      </c>
      <c r="D10" s="43">
        <v>1</v>
      </c>
      <c r="E10" s="44" t="s">
        <v>36</v>
      </c>
      <c r="F10" s="43">
        <v>6</v>
      </c>
      <c r="G10" s="48" t="s">
        <v>41</v>
      </c>
      <c r="H10" s="45" t="s">
        <v>34</v>
      </c>
      <c r="I10" s="46">
        <v>157087</v>
      </c>
      <c r="J10" s="47">
        <v>278287</v>
      </c>
      <c r="K10" s="46">
        <f t="shared" si="0"/>
        <v>435374</v>
      </c>
      <c r="L10" s="83"/>
      <c r="M10" s="85"/>
      <c r="O10" s="31" t="s">
        <v>490</v>
      </c>
    </row>
    <row r="11" spans="1:15" x14ac:dyDescent="0.3">
      <c r="A11" s="41">
        <v>6</v>
      </c>
      <c r="B11" s="42" t="s">
        <v>30</v>
      </c>
      <c r="C11" s="43" t="s">
        <v>35</v>
      </c>
      <c r="D11" s="43">
        <v>1</v>
      </c>
      <c r="E11" s="44" t="s">
        <v>36</v>
      </c>
      <c r="F11" s="43">
        <v>7</v>
      </c>
      <c r="G11" s="48" t="s">
        <v>42</v>
      </c>
      <c r="H11" s="45" t="s">
        <v>34</v>
      </c>
      <c r="I11" s="46">
        <v>19174</v>
      </c>
      <c r="J11" s="47">
        <v>143712</v>
      </c>
      <c r="K11" s="46">
        <f t="shared" si="0"/>
        <v>162886</v>
      </c>
      <c r="L11" s="83"/>
      <c r="M11" s="85"/>
      <c r="O11" s="31" t="s">
        <v>490</v>
      </c>
    </row>
    <row r="12" spans="1:15" x14ac:dyDescent="0.3">
      <c r="A12" s="41">
        <v>7</v>
      </c>
      <c r="B12" s="42" t="s">
        <v>30</v>
      </c>
      <c r="C12" s="43" t="s">
        <v>43</v>
      </c>
      <c r="D12" s="43">
        <v>1</v>
      </c>
      <c r="E12" s="44" t="s">
        <v>44</v>
      </c>
      <c r="F12" s="43">
        <v>2</v>
      </c>
      <c r="G12" s="44" t="s">
        <v>45</v>
      </c>
      <c r="H12" s="45" t="s">
        <v>34</v>
      </c>
      <c r="I12" s="46">
        <v>64847</v>
      </c>
      <c r="J12" s="47">
        <v>52034</v>
      </c>
      <c r="K12" s="46">
        <f t="shared" si="0"/>
        <v>116881</v>
      </c>
      <c r="L12" s="83"/>
      <c r="M12" s="84"/>
      <c r="O12" s="31" t="s">
        <v>490</v>
      </c>
    </row>
    <row r="13" spans="1:15" x14ac:dyDescent="0.3">
      <c r="A13" s="41">
        <v>8</v>
      </c>
      <c r="B13" s="42" t="s">
        <v>30</v>
      </c>
      <c r="C13" s="49" t="s">
        <v>46</v>
      </c>
      <c r="D13" s="49">
        <v>1</v>
      </c>
      <c r="E13" s="44" t="s">
        <v>47</v>
      </c>
      <c r="F13" s="43">
        <v>1</v>
      </c>
      <c r="G13" s="48" t="s">
        <v>48</v>
      </c>
      <c r="H13" s="45" t="s">
        <v>34</v>
      </c>
      <c r="I13" s="46">
        <v>21406</v>
      </c>
      <c r="J13" s="47">
        <v>111010</v>
      </c>
      <c r="K13" s="46">
        <f t="shared" si="0"/>
        <v>132416</v>
      </c>
      <c r="L13" s="83"/>
      <c r="M13" s="85"/>
      <c r="O13" s="31" t="s">
        <v>490</v>
      </c>
    </row>
    <row r="14" spans="1:15" x14ac:dyDescent="0.3">
      <c r="A14" s="41">
        <v>9</v>
      </c>
      <c r="B14" s="42" t="s">
        <v>30</v>
      </c>
      <c r="C14" s="49" t="s">
        <v>46</v>
      </c>
      <c r="D14" s="49">
        <v>1</v>
      </c>
      <c r="E14" s="44" t="s">
        <v>47</v>
      </c>
      <c r="F14" s="43">
        <v>2</v>
      </c>
      <c r="G14" s="48" t="s">
        <v>49</v>
      </c>
      <c r="H14" s="45" t="s">
        <v>34</v>
      </c>
      <c r="I14" s="46">
        <v>22379</v>
      </c>
      <c r="J14" s="47">
        <v>102544</v>
      </c>
      <c r="K14" s="46">
        <f t="shared" si="0"/>
        <v>124923</v>
      </c>
      <c r="L14" s="83"/>
      <c r="M14" s="85"/>
      <c r="O14" s="31" t="s">
        <v>490</v>
      </c>
    </row>
    <row r="15" spans="1:15" x14ac:dyDescent="0.3">
      <c r="A15" s="41">
        <v>10</v>
      </c>
      <c r="B15" s="42" t="s">
        <v>30</v>
      </c>
      <c r="C15" s="43" t="s">
        <v>50</v>
      </c>
      <c r="D15" s="43">
        <v>1</v>
      </c>
      <c r="E15" s="44" t="s">
        <v>51</v>
      </c>
      <c r="F15" s="43">
        <v>1</v>
      </c>
      <c r="G15" s="48" t="s">
        <v>52</v>
      </c>
      <c r="H15" s="45" t="s">
        <v>34</v>
      </c>
      <c r="I15" s="46">
        <v>21406</v>
      </c>
      <c r="J15" s="47">
        <v>110010</v>
      </c>
      <c r="K15" s="46">
        <f t="shared" si="0"/>
        <v>131416</v>
      </c>
      <c r="L15" s="83"/>
      <c r="M15" s="85"/>
      <c r="O15" s="31" t="s">
        <v>490</v>
      </c>
    </row>
    <row r="16" spans="1:15" x14ac:dyDescent="0.3">
      <c r="A16" s="41">
        <v>11</v>
      </c>
      <c r="B16" s="42" t="s">
        <v>30</v>
      </c>
      <c r="C16" s="43" t="s">
        <v>53</v>
      </c>
      <c r="D16" s="43">
        <v>1</v>
      </c>
      <c r="E16" s="44" t="s">
        <v>54</v>
      </c>
      <c r="F16" s="43">
        <v>1</v>
      </c>
      <c r="G16" s="48" t="s">
        <v>55</v>
      </c>
      <c r="H16" s="45" t="s">
        <v>34</v>
      </c>
      <c r="I16" s="46">
        <v>21406</v>
      </c>
      <c r="J16" s="47">
        <v>108810</v>
      </c>
      <c r="K16" s="46">
        <f t="shared" si="0"/>
        <v>130216</v>
      </c>
      <c r="L16" s="83"/>
      <c r="M16" s="85"/>
      <c r="O16" s="31" t="s">
        <v>490</v>
      </c>
    </row>
    <row r="17" spans="1:15" x14ac:dyDescent="0.3">
      <c r="A17" s="41">
        <v>12</v>
      </c>
      <c r="B17" s="42" t="s">
        <v>30</v>
      </c>
      <c r="C17" s="43" t="s">
        <v>56</v>
      </c>
      <c r="D17" s="43">
        <v>1</v>
      </c>
      <c r="E17" s="44" t="s">
        <v>57</v>
      </c>
      <c r="F17" s="43">
        <v>2</v>
      </c>
      <c r="G17" s="48" t="s">
        <v>58</v>
      </c>
      <c r="H17" s="45" t="s">
        <v>34</v>
      </c>
      <c r="I17" s="46">
        <v>10690</v>
      </c>
      <c r="J17" s="47">
        <v>119573</v>
      </c>
      <c r="K17" s="46">
        <f t="shared" si="0"/>
        <v>130263</v>
      </c>
      <c r="L17" s="83"/>
      <c r="M17" s="85"/>
      <c r="O17" s="31" t="s">
        <v>490</v>
      </c>
    </row>
    <row r="18" spans="1:15" x14ac:dyDescent="0.3">
      <c r="A18" s="41">
        <v>26</v>
      </c>
      <c r="B18" s="50" t="s">
        <v>30</v>
      </c>
      <c r="C18" s="43" t="s">
        <v>64</v>
      </c>
      <c r="D18" s="43">
        <v>2</v>
      </c>
      <c r="E18" s="44" t="s">
        <v>65</v>
      </c>
      <c r="F18" s="43">
        <v>5</v>
      </c>
      <c r="G18" s="44" t="s">
        <v>66</v>
      </c>
      <c r="H18" s="45" t="s">
        <v>34</v>
      </c>
      <c r="I18" s="46">
        <v>11640</v>
      </c>
      <c r="J18" s="47">
        <v>152526</v>
      </c>
      <c r="K18" s="46">
        <f t="shared" si="0"/>
        <v>164166</v>
      </c>
      <c r="L18" s="83"/>
      <c r="M18" s="84"/>
      <c r="O18" s="31" t="s">
        <v>490</v>
      </c>
    </row>
    <row r="19" spans="1:15" x14ac:dyDescent="0.3">
      <c r="A19" s="41">
        <v>29</v>
      </c>
      <c r="B19" s="42" t="s">
        <v>30</v>
      </c>
      <c r="C19" s="43" t="s">
        <v>67</v>
      </c>
      <c r="D19" s="43">
        <v>2</v>
      </c>
      <c r="E19" s="44" t="s">
        <v>68</v>
      </c>
      <c r="F19" s="43">
        <v>1</v>
      </c>
      <c r="G19" s="48" t="s">
        <v>69</v>
      </c>
      <c r="H19" s="45" t="s">
        <v>34</v>
      </c>
      <c r="I19" s="46">
        <v>19980</v>
      </c>
      <c r="J19" s="47">
        <v>81743</v>
      </c>
      <c r="K19" s="46">
        <f t="shared" si="0"/>
        <v>101723</v>
      </c>
      <c r="L19" s="83"/>
      <c r="M19" s="85"/>
      <c r="O19" s="31" t="s">
        <v>490</v>
      </c>
    </row>
    <row r="20" spans="1:15" x14ac:dyDescent="0.3">
      <c r="A20" s="41">
        <v>31</v>
      </c>
      <c r="B20" s="42" t="s">
        <v>30</v>
      </c>
      <c r="C20" s="43" t="s">
        <v>70</v>
      </c>
      <c r="D20" s="43">
        <v>2</v>
      </c>
      <c r="E20" s="44" t="s">
        <v>71</v>
      </c>
      <c r="F20" s="43">
        <v>2</v>
      </c>
      <c r="G20" s="48" t="s">
        <v>72</v>
      </c>
      <c r="H20" s="45" t="s">
        <v>34</v>
      </c>
      <c r="I20" s="46">
        <v>18226</v>
      </c>
      <c r="J20" s="47">
        <v>80743</v>
      </c>
      <c r="K20" s="46">
        <f t="shared" si="0"/>
        <v>98969</v>
      </c>
      <c r="L20" s="83"/>
      <c r="M20" s="85"/>
      <c r="O20" s="31" t="s">
        <v>490</v>
      </c>
    </row>
    <row r="21" spans="1:15" x14ac:dyDescent="0.3">
      <c r="A21" s="41">
        <v>32</v>
      </c>
      <c r="B21" s="42" t="s">
        <v>30</v>
      </c>
      <c r="C21" s="43" t="s">
        <v>73</v>
      </c>
      <c r="D21" s="43">
        <v>2</v>
      </c>
      <c r="E21" s="44" t="s">
        <v>74</v>
      </c>
      <c r="F21" s="43">
        <v>1</v>
      </c>
      <c r="G21" s="48" t="s">
        <v>75</v>
      </c>
      <c r="H21" s="45" t="s">
        <v>34</v>
      </c>
      <c r="I21" s="46">
        <v>19980</v>
      </c>
      <c r="J21" s="47">
        <v>82743</v>
      </c>
      <c r="K21" s="46">
        <f t="shared" si="0"/>
        <v>102723</v>
      </c>
      <c r="L21" s="83"/>
      <c r="M21" s="85"/>
      <c r="O21" s="31" t="s">
        <v>490</v>
      </c>
    </row>
    <row r="22" spans="1:15" x14ac:dyDescent="0.3">
      <c r="A22" s="41">
        <v>45</v>
      </c>
      <c r="B22" s="42" t="s">
        <v>30</v>
      </c>
      <c r="C22" s="43" t="s">
        <v>70</v>
      </c>
      <c r="D22" s="43">
        <v>2</v>
      </c>
      <c r="E22" s="44" t="s">
        <v>71</v>
      </c>
      <c r="F22" s="43">
        <v>4</v>
      </c>
      <c r="G22" s="48" t="s">
        <v>76</v>
      </c>
      <c r="H22" s="45" t="s">
        <v>34</v>
      </c>
      <c r="I22" s="46">
        <v>18226</v>
      </c>
      <c r="J22" s="47">
        <v>80743</v>
      </c>
      <c r="K22" s="46">
        <f t="shared" si="0"/>
        <v>98969</v>
      </c>
      <c r="L22" s="83"/>
      <c r="M22" s="85"/>
      <c r="O22" s="31" t="s">
        <v>490</v>
      </c>
    </row>
    <row r="23" spans="1:15" x14ac:dyDescent="0.3">
      <c r="A23" s="41">
        <v>46</v>
      </c>
      <c r="B23" s="50" t="s">
        <v>30</v>
      </c>
      <c r="C23" s="43" t="s">
        <v>64</v>
      </c>
      <c r="D23" s="43">
        <v>2</v>
      </c>
      <c r="E23" s="44" t="s">
        <v>65</v>
      </c>
      <c r="F23" s="43">
        <v>7</v>
      </c>
      <c r="G23" s="44" t="s">
        <v>77</v>
      </c>
      <c r="H23" s="45" t="s">
        <v>34</v>
      </c>
      <c r="I23" s="46">
        <v>23280</v>
      </c>
      <c r="J23" s="47">
        <v>288972</v>
      </c>
      <c r="K23" s="46">
        <f t="shared" si="0"/>
        <v>312252</v>
      </c>
      <c r="L23" s="83"/>
      <c r="M23" s="84"/>
      <c r="O23" s="31" t="s">
        <v>490</v>
      </c>
    </row>
    <row r="24" spans="1:15" x14ac:dyDescent="0.3">
      <c r="A24" s="41">
        <v>53</v>
      </c>
      <c r="B24" s="42" t="s">
        <v>30</v>
      </c>
      <c r="C24" s="43" t="s">
        <v>70</v>
      </c>
      <c r="D24" s="43">
        <v>2</v>
      </c>
      <c r="E24" s="44" t="s">
        <v>71</v>
      </c>
      <c r="F24" s="43">
        <v>5</v>
      </c>
      <c r="G24" s="48" t="s">
        <v>78</v>
      </c>
      <c r="H24" s="45" t="s">
        <v>34</v>
      </c>
      <c r="I24" s="46">
        <v>18226</v>
      </c>
      <c r="J24" s="47">
        <v>76393</v>
      </c>
      <c r="K24" s="46">
        <f t="shared" si="0"/>
        <v>94619</v>
      </c>
      <c r="L24" s="83"/>
      <c r="M24" s="85"/>
      <c r="O24" s="31" t="s">
        <v>490</v>
      </c>
    </row>
    <row r="25" spans="1:15" x14ac:dyDescent="0.3">
      <c r="A25" s="41">
        <v>54</v>
      </c>
      <c r="B25" s="42" t="s">
        <v>30</v>
      </c>
      <c r="C25" s="43" t="s">
        <v>79</v>
      </c>
      <c r="D25" s="43">
        <v>2</v>
      </c>
      <c r="E25" s="44" t="s">
        <v>80</v>
      </c>
      <c r="F25" s="43">
        <v>3</v>
      </c>
      <c r="G25" s="44" t="s">
        <v>81</v>
      </c>
      <c r="H25" s="45" t="s">
        <v>34</v>
      </c>
      <c r="I25" s="46">
        <v>0</v>
      </c>
      <c r="J25" s="47">
        <v>67909</v>
      </c>
      <c r="K25" s="46">
        <f t="shared" si="0"/>
        <v>67909</v>
      </c>
      <c r="L25" s="83"/>
      <c r="M25" s="84"/>
      <c r="O25" s="31" t="s">
        <v>490</v>
      </c>
    </row>
    <row r="26" spans="1:15" x14ac:dyDescent="0.3">
      <c r="A26" s="41">
        <v>49</v>
      </c>
      <c r="B26" s="42" t="s">
        <v>30</v>
      </c>
      <c r="C26" s="43" t="s">
        <v>82</v>
      </c>
      <c r="D26" s="43">
        <v>3</v>
      </c>
      <c r="E26" s="44" t="s">
        <v>83</v>
      </c>
      <c r="F26" s="43">
        <v>2</v>
      </c>
      <c r="G26" s="48" t="s">
        <v>84</v>
      </c>
      <c r="H26" s="45" t="s">
        <v>34</v>
      </c>
      <c r="I26" s="46">
        <v>18528</v>
      </c>
      <c r="J26" s="47">
        <v>73018</v>
      </c>
      <c r="K26" s="46">
        <f t="shared" si="0"/>
        <v>91546</v>
      </c>
      <c r="L26" s="83"/>
      <c r="M26" s="85"/>
      <c r="O26" s="31" t="s">
        <v>490</v>
      </c>
    </row>
    <row r="27" spans="1:15" x14ac:dyDescent="0.3">
      <c r="A27" s="41">
        <v>13</v>
      </c>
      <c r="B27" s="42" t="s">
        <v>30</v>
      </c>
      <c r="C27" s="43" t="s">
        <v>85</v>
      </c>
      <c r="D27" s="43">
        <v>3</v>
      </c>
      <c r="E27" s="44" t="s">
        <v>86</v>
      </c>
      <c r="F27" s="43">
        <v>1</v>
      </c>
      <c r="G27" s="48" t="s">
        <v>87</v>
      </c>
      <c r="H27" s="45" t="s">
        <v>34</v>
      </c>
      <c r="I27" s="46">
        <v>36926</v>
      </c>
      <c r="J27" s="47">
        <v>246102</v>
      </c>
      <c r="K27" s="46">
        <f t="shared" si="0"/>
        <v>283028</v>
      </c>
      <c r="L27" s="83"/>
      <c r="M27" s="85"/>
      <c r="O27" s="31" t="s">
        <v>490</v>
      </c>
    </row>
    <row r="28" spans="1:15" x14ac:dyDescent="0.3">
      <c r="A28" s="41">
        <v>14</v>
      </c>
      <c r="B28" s="42" t="s">
        <v>30</v>
      </c>
      <c r="C28" s="59" t="s">
        <v>88</v>
      </c>
      <c r="D28" s="43">
        <v>3</v>
      </c>
      <c r="E28" s="120" t="s">
        <v>89</v>
      </c>
      <c r="F28" s="43">
        <v>1</v>
      </c>
      <c r="G28" s="48" t="s">
        <v>90</v>
      </c>
      <c r="H28" s="45" t="s">
        <v>34</v>
      </c>
      <c r="I28" s="46">
        <v>20236</v>
      </c>
      <c r="J28" s="47">
        <v>154888</v>
      </c>
      <c r="K28" s="46">
        <f t="shared" si="0"/>
        <v>175124</v>
      </c>
      <c r="L28" s="83"/>
      <c r="M28" s="85"/>
      <c r="O28" s="31" t="s">
        <v>490</v>
      </c>
    </row>
    <row r="29" spans="1:15" x14ac:dyDescent="0.3">
      <c r="A29" s="41">
        <v>30</v>
      </c>
      <c r="B29" s="50" t="s">
        <v>30</v>
      </c>
      <c r="C29" s="43" t="s">
        <v>64</v>
      </c>
      <c r="D29" s="43">
        <v>3</v>
      </c>
      <c r="E29" s="44" t="s">
        <v>65</v>
      </c>
      <c r="F29" s="43">
        <v>6</v>
      </c>
      <c r="G29" s="44" t="s">
        <v>96</v>
      </c>
      <c r="H29" s="45" t="s">
        <v>34</v>
      </c>
      <c r="I29" s="46">
        <v>8603</v>
      </c>
      <c r="J29" s="47">
        <v>76263</v>
      </c>
      <c r="K29" s="46">
        <f t="shared" si="0"/>
        <v>84866</v>
      </c>
      <c r="L29" s="83"/>
      <c r="M29" s="84"/>
      <c r="O29" s="31" t="s">
        <v>490</v>
      </c>
    </row>
    <row r="30" spans="1:15" x14ac:dyDescent="0.3">
      <c r="A30" s="41">
        <v>33</v>
      </c>
      <c r="B30" s="42" t="s">
        <v>30</v>
      </c>
      <c r="C30" s="43" t="s">
        <v>82</v>
      </c>
      <c r="D30" s="43">
        <v>3</v>
      </c>
      <c r="E30" s="44" t="s">
        <v>83</v>
      </c>
      <c r="F30" s="43">
        <v>1</v>
      </c>
      <c r="G30" s="48" t="s">
        <v>97</v>
      </c>
      <c r="H30" s="45" t="s">
        <v>34</v>
      </c>
      <c r="I30" s="46">
        <v>155050</v>
      </c>
      <c r="J30" s="47">
        <v>126251</v>
      </c>
      <c r="K30" s="46">
        <f t="shared" si="0"/>
        <v>281301</v>
      </c>
      <c r="L30" s="83"/>
      <c r="M30" s="85"/>
      <c r="O30" s="31" t="s">
        <v>490</v>
      </c>
    </row>
    <row r="31" spans="1:15" x14ac:dyDescent="0.3">
      <c r="A31" s="41">
        <v>34</v>
      </c>
      <c r="B31" s="42" t="s">
        <v>30</v>
      </c>
      <c r="C31" s="43" t="s">
        <v>98</v>
      </c>
      <c r="D31" s="43">
        <v>3</v>
      </c>
      <c r="E31" s="44" t="s">
        <v>99</v>
      </c>
      <c r="F31" s="43">
        <v>1</v>
      </c>
      <c r="G31" s="48" t="s">
        <v>100</v>
      </c>
      <c r="H31" s="45" t="s">
        <v>34</v>
      </c>
      <c r="I31" s="46">
        <v>20396</v>
      </c>
      <c r="J31" s="47">
        <v>73558</v>
      </c>
      <c r="K31" s="46">
        <f t="shared" si="0"/>
        <v>93954</v>
      </c>
      <c r="L31" s="83"/>
      <c r="M31" s="85"/>
      <c r="O31" s="31" t="s">
        <v>490</v>
      </c>
    </row>
    <row r="32" spans="1:15" x14ac:dyDescent="0.3">
      <c r="A32" s="41">
        <v>38</v>
      </c>
      <c r="B32" s="42" t="s">
        <v>30</v>
      </c>
      <c r="C32" s="43" t="s">
        <v>101</v>
      </c>
      <c r="D32" s="43">
        <v>3</v>
      </c>
      <c r="E32" s="44" t="s">
        <v>102</v>
      </c>
      <c r="F32" s="43">
        <v>2</v>
      </c>
      <c r="G32" s="48" t="s">
        <v>97</v>
      </c>
      <c r="H32" s="45" t="s">
        <v>34</v>
      </c>
      <c r="I32" s="46">
        <v>286228</v>
      </c>
      <c r="J32" s="47">
        <v>252012</v>
      </c>
      <c r="K32" s="46">
        <f t="shared" si="0"/>
        <v>538240</v>
      </c>
      <c r="L32" s="83"/>
      <c r="M32" s="85"/>
      <c r="O32" s="31" t="s">
        <v>490</v>
      </c>
    </row>
    <row r="33" spans="1:15" x14ac:dyDescent="0.3">
      <c r="A33" s="41">
        <v>39</v>
      </c>
      <c r="B33" s="42" t="s">
        <v>30</v>
      </c>
      <c r="C33" s="43" t="s">
        <v>103</v>
      </c>
      <c r="D33" s="43">
        <v>3</v>
      </c>
      <c r="E33" s="44" t="s">
        <v>104</v>
      </c>
      <c r="F33" s="43">
        <v>1</v>
      </c>
      <c r="G33" s="48" t="s">
        <v>97</v>
      </c>
      <c r="H33" s="45" t="s">
        <v>34</v>
      </c>
      <c r="I33" s="46">
        <v>337806</v>
      </c>
      <c r="J33" s="47">
        <v>253096</v>
      </c>
      <c r="K33" s="46">
        <f t="shared" si="0"/>
        <v>590902</v>
      </c>
      <c r="L33" s="83"/>
      <c r="M33" s="85"/>
      <c r="O33" s="31" t="s">
        <v>490</v>
      </c>
    </row>
    <row r="34" spans="1:15" x14ac:dyDescent="0.3">
      <c r="A34" s="41">
        <v>40</v>
      </c>
      <c r="B34" s="42" t="s">
        <v>30</v>
      </c>
      <c r="C34" s="43" t="s">
        <v>105</v>
      </c>
      <c r="D34" s="43">
        <v>3</v>
      </c>
      <c r="E34" s="44" t="s">
        <v>106</v>
      </c>
      <c r="F34" s="43">
        <v>1</v>
      </c>
      <c r="G34" s="48" t="s">
        <v>97</v>
      </c>
      <c r="H34" s="45" t="s">
        <v>34</v>
      </c>
      <c r="I34" s="46">
        <v>159137</v>
      </c>
      <c r="J34" s="47">
        <v>128323</v>
      </c>
      <c r="K34" s="46">
        <f t="shared" si="0"/>
        <v>287460</v>
      </c>
      <c r="L34" s="83"/>
      <c r="M34" s="85"/>
      <c r="O34" s="31" t="s">
        <v>490</v>
      </c>
    </row>
    <row r="35" spans="1:15" x14ac:dyDescent="0.3">
      <c r="A35" s="41">
        <v>42</v>
      </c>
      <c r="B35" s="42" t="s">
        <v>30</v>
      </c>
      <c r="C35" s="43" t="s">
        <v>107</v>
      </c>
      <c r="D35" s="43">
        <v>3</v>
      </c>
      <c r="E35" s="44" t="s">
        <v>108</v>
      </c>
      <c r="F35" s="43">
        <v>1</v>
      </c>
      <c r="G35" s="51" t="s">
        <v>100</v>
      </c>
      <c r="H35" s="45" t="s">
        <v>34</v>
      </c>
      <c r="I35" s="46">
        <v>6873</v>
      </c>
      <c r="J35" s="47">
        <v>72469</v>
      </c>
      <c r="K35" s="46">
        <f t="shared" si="0"/>
        <v>79342</v>
      </c>
      <c r="L35" s="83"/>
      <c r="M35" s="86"/>
      <c r="O35" s="31" t="s">
        <v>490</v>
      </c>
    </row>
    <row r="36" spans="1:15" x14ac:dyDescent="0.3">
      <c r="A36" s="41">
        <v>44</v>
      </c>
      <c r="B36" s="42" t="s">
        <v>30</v>
      </c>
      <c r="C36" s="43" t="s">
        <v>109</v>
      </c>
      <c r="D36" s="43">
        <v>3</v>
      </c>
      <c r="E36" s="44" t="s">
        <v>110</v>
      </c>
      <c r="F36" s="43">
        <v>1</v>
      </c>
      <c r="G36" s="48" t="s">
        <v>111</v>
      </c>
      <c r="H36" s="45" t="s">
        <v>34</v>
      </c>
      <c r="I36" s="46">
        <v>18226</v>
      </c>
      <c r="J36" s="47">
        <v>82743</v>
      </c>
      <c r="K36" s="46">
        <f t="shared" si="0"/>
        <v>100969</v>
      </c>
      <c r="L36" s="83"/>
      <c r="M36" s="85"/>
      <c r="O36" s="31" t="s">
        <v>489</v>
      </c>
    </row>
    <row r="37" spans="1:15" x14ac:dyDescent="0.3">
      <c r="A37" s="41">
        <v>24</v>
      </c>
      <c r="B37" s="42" t="s">
        <v>30</v>
      </c>
      <c r="C37" s="43" t="s">
        <v>120</v>
      </c>
      <c r="D37" s="43">
        <v>3</v>
      </c>
      <c r="E37" s="44" t="s">
        <v>121</v>
      </c>
      <c r="F37" s="43">
        <v>2</v>
      </c>
      <c r="G37" s="48" t="s">
        <v>119</v>
      </c>
      <c r="H37" s="45" t="s">
        <v>34</v>
      </c>
      <c r="I37" s="46">
        <v>0</v>
      </c>
      <c r="J37" s="47">
        <v>11000</v>
      </c>
      <c r="K37" s="46">
        <f t="shared" si="0"/>
        <v>11000</v>
      </c>
      <c r="L37" s="83"/>
      <c r="M37" s="85"/>
      <c r="O37" s="31" t="s">
        <v>490</v>
      </c>
    </row>
    <row r="38" spans="1:15" x14ac:dyDescent="0.3">
      <c r="A38" s="41">
        <v>27</v>
      </c>
      <c r="B38" s="42" t="s">
        <v>30</v>
      </c>
      <c r="C38" s="43" t="s">
        <v>122</v>
      </c>
      <c r="D38" s="43">
        <v>3</v>
      </c>
      <c r="E38" s="44" t="s">
        <v>123</v>
      </c>
      <c r="F38" s="43">
        <v>1</v>
      </c>
      <c r="G38" s="51" t="s">
        <v>124</v>
      </c>
      <c r="H38" s="45" t="s">
        <v>34</v>
      </c>
      <c r="I38" s="46">
        <v>12070</v>
      </c>
      <c r="J38" s="47">
        <v>76893</v>
      </c>
      <c r="K38" s="46">
        <f t="shared" si="0"/>
        <v>88963</v>
      </c>
      <c r="L38" s="83"/>
      <c r="M38" s="86"/>
      <c r="O38" s="31" t="s">
        <v>490</v>
      </c>
    </row>
    <row r="39" spans="1:15" x14ac:dyDescent="0.3">
      <c r="A39" s="52">
        <v>28</v>
      </c>
      <c r="B39" s="42" t="s">
        <v>30</v>
      </c>
      <c r="C39" s="43" t="s">
        <v>70</v>
      </c>
      <c r="D39" s="43">
        <v>3</v>
      </c>
      <c r="E39" s="44" t="s">
        <v>71</v>
      </c>
      <c r="F39" s="43">
        <v>3</v>
      </c>
      <c r="G39" s="48" t="s">
        <v>125</v>
      </c>
      <c r="H39" s="45" t="s">
        <v>34</v>
      </c>
      <c r="I39" s="46">
        <v>18226</v>
      </c>
      <c r="J39" s="47">
        <v>80743</v>
      </c>
      <c r="K39" s="46">
        <f t="shared" si="0"/>
        <v>98969</v>
      </c>
      <c r="L39" s="83"/>
      <c r="M39" s="85"/>
      <c r="O39" s="31" t="s">
        <v>490</v>
      </c>
    </row>
    <row r="40" spans="1:15" x14ac:dyDescent="0.3">
      <c r="A40" s="41">
        <v>35</v>
      </c>
      <c r="B40" s="42" t="s">
        <v>30</v>
      </c>
      <c r="C40" s="43" t="s">
        <v>126</v>
      </c>
      <c r="D40" s="43">
        <v>3</v>
      </c>
      <c r="E40" s="44" t="s">
        <v>127</v>
      </c>
      <c r="F40" s="43">
        <v>3</v>
      </c>
      <c r="G40" s="44" t="s">
        <v>128</v>
      </c>
      <c r="H40" s="45" t="s">
        <v>34</v>
      </c>
      <c r="I40" s="46">
        <v>9081</v>
      </c>
      <c r="J40" s="47">
        <v>96805</v>
      </c>
      <c r="K40" s="46">
        <f t="shared" si="0"/>
        <v>105886</v>
      </c>
      <c r="L40" s="83"/>
      <c r="M40" s="84"/>
      <c r="O40" s="31" t="s">
        <v>490</v>
      </c>
    </row>
    <row r="41" spans="1:15" x14ac:dyDescent="0.3">
      <c r="A41" s="41">
        <v>36</v>
      </c>
      <c r="B41" s="42" t="s">
        <v>30</v>
      </c>
      <c r="C41" s="43" t="s">
        <v>129</v>
      </c>
      <c r="D41" s="43">
        <v>3</v>
      </c>
      <c r="E41" s="44" t="s">
        <v>130</v>
      </c>
      <c r="F41" s="43">
        <v>2</v>
      </c>
      <c r="G41" s="48" t="s">
        <v>131</v>
      </c>
      <c r="H41" s="45" t="s">
        <v>34</v>
      </c>
      <c r="I41" s="46">
        <v>223018</v>
      </c>
      <c r="J41" s="47">
        <v>261706</v>
      </c>
      <c r="K41" s="46">
        <f t="shared" si="0"/>
        <v>484724</v>
      </c>
      <c r="L41" s="83"/>
      <c r="M41" s="85"/>
      <c r="O41" s="31" t="s">
        <v>490</v>
      </c>
    </row>
    <row r="42" spans="1:15" x14ac:dyDescent="0.3">
      <c r="A42" s="41">
        <v>37</v>
      </c>
      <c r="B42" s="42" t="s">
        <v>30</v>
      </c>
      <c r="C42" s="43" t="s">
        <v>129</v>
      </c>
      <c r="D42" s="43">
        <v>3</v>
      </c>
      <c r="E42" s="44" t="s">
        <v>130</v>
      </c>
      <c r="F42" s="43">
        <v>3</v>
      </c>
      <c r="G42" s="48" t="s">
        <v>132</v>
      </c>
      <c r="H42" s="45" t="s">
        <v>34</v>
      </c>
      <c r="I42" s="46">
        <v>97252</v>
      </c>
      <c r="J42" s="47">
        <v>143460</v>
      </c>
      <c r="K42" s="46">
        <f t="shared" si="0"/>
        <v>240712</v>
      </c>
      <c r="L42" s="83"/>
      <c r="M42" s="85"/>
      <c r="O42" s="31" t="s">
        <v>490</v>
      </c>
    </row>
    <row r="43" spans="1:15" x14ac:dyDescent="0.3">
      <c r="A43" s="41">
        <v>43</v>
      </c>
      <c r="B43" s="42" t="s">
        <v>30</v>
      </c>
      <c r="C43" s="43" t="s">
        <v>133</v>
      </c>
      <c r="D43" s="43">
        <v>3</v>
      </c>
      <c r="E43" s="44" t="s">
        <v>134</v>
      </c>
      <c r="F43" s="43">
        <v>1</v>
      </c>
      <c r="G43" s="48" t="s">
        <v>135</v>
      </c>
      <c r="H43" s="45" t="s">
        <v>34</v>
      </c>
      <c r="I43" s="46">
        <v>23378</v>
      </c>
      <c r="J43" s="47">
        <v>107076</v>
      </c>
      <c r="K43" s="46">
        <f t="shared" si="0"/>
        <v>130454</v>
      </c>
      <c r="L43" s="83"/>
      <c r="M43" s="85"/>
      <c r="O43" s="31" t="s">
        <v>490</v>
      </c>
    </row>
    <row r="44" spans="1:15" x14ac:dyDescent="0.3">
      <c r="A44" s="41">
        <v>48</v>
      </c>
      <c r="B44" s="42" t="s">
        <v>30</v>
      </c>
      <c r="C44" s="43" t="s">
        <v>129</v>
      </c>
      <c r="D44" s="43">
        <v>3</v>
      </c>
      <c r="E44" s="44" t="s">
        <v>130</v>
      </c>
      <c r="F44" s="43">
        <v>6</v>
      </c>
      <c r="G44" s="48" t="s">
        <v>136</v>
      </c>
      <c r="H44" s="45" t="s">
        <v>34</v>
      </c>
      <c r="I44" s="46">
        <v>0</v>
      </c>
      <c r="J44" s="47">
        <v>137129</v>
      </c>
      <c r="K44" s="46">
        <f t="shared" si="0"/>
        <v>137129</v>
      </c>
      <c r="L44" s="83"/>
      <c r="M44" s="85"/>
      <c r="O44" s="31" t="s">
        <v>490</v>
      </c>
    </row>
    <row r="45" spans="1:15" x14ac:dyDescent="0.3">
      <c r="A45" s="41">
        <v>56</v>
      </c>
      <c r="B45" s="42" t="s">
        <v>30</v>
      </c>
      <c r="C45" s="43" t="s">
        <v>79</v>
      </c>
      <c r="D45" s="43">
        <v>4</v>
      </c>
      <c r="E45" s="44" t="s">
        <v>80</v>
      </c>
      <c r="F45" s="43">
        <v>4</v>
      </c>
      <c r="G45" s="44" t="s">
        <v>137</v>
      </c>
      <c r="H45" s="45" t="s">
        <v>34</v>
      </c>
      <c r="I45" s="46">
        <v>19877</v>
      </c>
      <c r="J45" s="47">
        <v>80743</v>
      </c>
      <c r="K45" s="46">
        <f t="shared" si="0"/>
        <v>100620</v>
      </c>
      <c r="L45" s="83"/>
      <c r="M45" s="84"/>
      <c r="O45" s="31" t="s">
        <v>490</v>
      </c>
    </row>
    <row r="46" spans="1:15" x14ac:dyDescent="0.3">
      <c r="A46" s="53">
        <v>52</v>
      </c>
      <c r="B46" s="42" t="s">
        <v>30</v>
      </c>
      <c r="C46" s="53" t="s">
        <v>138</v>
      </c>
      <c r="D46" s="53">
        <v>4</v>
      </c>
      <c r="E46" s="54" t="s">
        <v>139</v>
      </c>
      <c r="F46" s="55">
        <v>100</v>
      </c>
      <c r="G46" s="51" t="s">
        <v>140</v>
      </c>
      <c r="H46" s="45" t="s">
        <v>34</v>
      </c>
      <c r="I46" s="46">
        <v>0</v>
      </c>
      <c r="J46" s="47">
        <v>0</v>
      </c>
      <c r="K46" s="46">
        <f t="shared" si="0"/>
        <v>0</v>
      </c>
      <c r="L46" s="83"/>
      <c r="M46" s="86"/>
      <c r="O46" s="31" t="s">
        <v>490</v>
      </c>
    </row>
    <row r="47" spans="1:15" x14ac:dyDescent="0.3">
      <c r="A47" s="41">
        <v>47</v>
      </c>
      <c r="B47" s="42" t="s">
        <v>30</v>
      </c>
      <c r="C47" s="43" t="s">
        <v>141</v>
      </c>
      <c r="D47" s="43">
        <v>4</v>
      </c>
      <c r="E47" s="44" t="s">
        <v>142</v>
      </c>
      <c r="F47" s="43">
        <v>2</v>
      </c>
      <c r="G47" s="48" t="s">
        <v>143</v>
      </c>
      <c r="H47" s="45" t="s">
        <v>34</v>
      </c>
      <c r="I47" s="46">
        <v>14555</v>
      </c>
      <c r="J47" s="47">
        <v>159028</v>
      </c>
      <c r="K47" s="46">
        <f t="shared" si="0"/>
        <v>173583</v>
      </c>
      <c r="L47" s="83"/>
      <c r="M47" s="85"/>
      <c r="O47" s="31" t="s">
        <v>490</v>
      </c>
    </row>
    <row r="48" spans="1:15" x14ac:dyDescent="0.3">
      <c r="A48" s="41">
        <v>22</v>
      </c>
      <c r="B48" s="42" t="s">
        <v>30</v>
      </c>
      <c r="C48" s="43" t="s">
        <v>144</v>
      </c>
      <c r="D48" s="43">
        <v>4</v>
      </c>
      <c r="E48" s="44" t="s">
        <v>145</v>
      </c>
      <c r="F48" s="43">
        <v>1</v>
      </c>
      <c r="G48" s="48" t="s">
        <v>146</v>
      </c>
      <c r="H48" s="45" t="s">
        <v>34</v>
      </c>
      <c r="I48" s="46">
        <v>13339</v>
      </c>
      <c r="J48" s="47">
        <v>92905</v>
      </c>
      <c r="K48" s="46">
        <f t="shared" si="0"/>
        <v>106244</v>
      </c>
      <c r="L48" s="83"/>
      <c r="M48" s="85"/>
      <c r="O48" s="31" t="s">
        <v>490</v>
      </c>
    </row>
    <row r="49" spans="1:15" ht="28.8" x14ac:dyDescent="0.3">
      <c r="A49" s="52">
        <v>41</v>
      </c>
      <c r="B49" s="42" t="s">
        <v>30</v>
      </c>
      <c r="C49" s="43" t="s">
        <v>141</v>
      </c>
      <c r="D49" s="43">
        <v>4</v>
      </c>
      <c r="E49" s="44" t="s">
        <v>142</v>
      </c>
      <c r="F49" s="43">
        <v>1</v>
      </c>
      <c r="G49" s="48" t="s">
        <v>147</v>
      </c>
      <c r="H49" s="45" t="s">
        <v>34</v>
      </c>
      <c r="I49" s="46">
        <v>14555</v>
      </c>
      <c r="J49" s="47">
        <v>159028</v>
      </c>
      <c r="K49" s="46">
        <f t="shared" si="0"/>
        <v>173583</v>
      </c>
      <c r="L49" s="83"/>
      <c r="M49" s="85"/>
      <c r="O49" s="31" t="s">
        <v>490</v>
      </c>
    </row>
    <row r="50" spans="1:15" x14ac:dyDescent="0.3">
      <c r="A50" s="41">
        <v>50</v>
      </c>
      <c r="B50" s="42" t="s">
        <v>30</v>
      </c>
      <c r="C50" s="43" t="s">
        <v>148</v>
      </c>
      <c r="D50" s="43">
        <v>4</v>
      </c>
      <c r="E50" s="44" t="s">
        <v>149</v>
      </c>
      <c r="F50" s="43">
        <v>100</v>
      </c>
      <c r="G50" s="44" t="s">
        <v>150</v>
      </c>
      <c r="H50" s="45" t="s">
        <v>34</v>
      </c>
      <c r="I50" s="46">
        <v>0</v>
      </c>
      <c r="J50" s="47">
        <v>6021</v>
      </c>
      <c r="K50" s="46">
        <f t="shared" si="0"/>
        <v>6021</v>
      </c>
      <c r="L50" s="83"/>
      <c r="M50" s="84"/>
      <c r="O50" s="31" t="s">
        <v>490</v>
      </c>
    </row>
    <row r="51" spans="1:15" x14ac:dyDescent="0.3">
      <c r="A51" s="41">
        <v>51</v>
      </c>
      <c r="B51" s="42" t="s">
        <v>30</v>
      </c>
      <c r="C51" s="43" t="s">
        <v>148</v>
      </c>
      <c r="D51" s="43">
        <v>4</v>
      </c>
      <c r="E51" s="44" t="s">
        <v>149</v>
      </c>
      <c r="F51" s="43">
        <v>101</v>
      </c>
      <c r="G51" s="44" t="s">
        <v>151</v>
      </c>
      <c r="H51" s="45" t="s">
        <v>34</v>
      </c>
      <c r="I51" s="46">
        <v>0</v>
      </c>
      <c r="J51" s="47">
        <v>0</v>
      </c>
      <c r="K51" s="46">
        <f t="shared" si="0"/>
        <v>0</v>
      </c>
      <c r="L51" s="83"/>
      <c r="M51" s="84"/>
      <c r="O51" s="31" t="s">
        <v>490</v>
      </c>
    </row>
    <row r="52" spans="1:15" x14ac:dyDescent="0.3">
      <c r="A52" s="41">
        <v>65</v>
      </c>
      <c r="B52" s="42" t="s">
        <v>30</v>
      </c>
      <c r="C52" s="43" t="s">
        <v>70</v>
      </c>
      <c r="D52" s="43">
        <v>4</v>
      </c>
      <c r="E52" s="44" t="s">
        <v>71</v>
      </c>
      <c r="F52" s="43">
        <v>1</v>
      </c>
      <c r="G52" s="48" t="s">
        <v>152</v>
      </c>
      <c r="H52" s="45" t="s">
        <v>34</v>
      </c>
      <c r="I52" s="46">
        <v>20237</v>
      </c>
      <c r="J52" s="47">
        <v>90550</v>
      </c>
      <c r="K52" s="46">
        <f t="shared" si="0"/>
        <v>110787</v>
      </c>
      <c r="L52" s="83"/>
      <c r="M52" s="85"/>
      <c r="O52" s="31" t="s">
        <v>490</v>
      </c>
    </row>
    <row r="53" spans="1:15" x14ac:dyDescent="0.3">
      <c r="A53" s="41">
        <v>2</v>
      </c>
      <c r="B53" s="42" t="s">
        <v>30</v>
      </c>
      <c r="C53" s="43" t="s">
        <v>129</v>
      </c>
      <c r="D53" s="43">
        <v>5</v>
      </c>
      <c r="E53" s="44" t="s">
        <v>130</v>
      </c>
      <c r="F53" s="43">
        <v>9</v>
      </c>
      <c r="G53" s="48" t="s">
        <v>153</v>
      </c>
      <c r="H53" s="45" t="s">
        <v>34</v>
      </c>
      <c r="I53" s="46">
        <v>0</v>
      </c>
      <c r="J53" s="47">
        <v>61567</v>
      </c>
      <c r="K53" s="46">
        <f t="shared" si="0"/>
        <v>61567</v>
      </c>
      <c r="L53" s="83"/>
      <c r="M53" s="85"/>
      <c r="O53" s="31" t="s">
        <v>489</v>
      </c>
    </row>
    <row r="54" spans="1:15" x14ac:dyDescent="0.3">
      <c r="A54" s="41">
        <v>3</v>
      </c>
      <c r="B54" s="42" t="s">
        <v>30</v>
      </c>
      <c r="C54" s="43" t="s">
        <v>129</v>
      </c>
      <c r="D54" s="43">
        <v>5</v>
      </c>
      <c r="E54" s="44" t="s">
        <v>130</v>
      </c>
      <c r="F54" s="43">
        <v>12</v>
      </c>
      <c r="G54" s="48" t="s">
        <v>154</v>
      </c>
      <c r="H54" s="45" t="s">
        <v>34</v>
      </c>
      <c r="I54" s="46">
        <v>0</v>
      </c>
      <c r="J54" s="47">
        <v>27699</v>
      </c>
      <c r="K54" s="46">
        <f t="shared" si="0"/>
        <v>27699</v>
      </c>
      <c r="L54" s="83"/>
      <c r="M54" s="85"/>
      <c r="O54" s="31" t="s">
        <v>489</v>
      </c>
    </row>
    <row r="55" spans="1:15" x14ac:dyDescent="0.3">
      <c r="A55" s="41">
        <v>4</v>
      </c>
      <c r="B55" s="42" t="s">
        <v>30</v>
      </c>
      <c r="C55" s="43" t="s">
        <v>155</v>
      </c>
      <c r="D55" s="43">
        <v>5</v>
      </c>
      <c r="E55" s="44" t="s">
        <v>156</v>
      </c>
      <c r="F55" s="43">
        <v>1</v>
      </c>
      <c r="G55" s="48" t="s">
        <v>157</v>
      </c>
      <c r="H55" s="45" t="s">
        <v>34</v>
      </c>
      <c r="I55" s="46">
        <v>0</v>
      </c>
      <c r="J55" s="47">
        <v>112500</v>
      </c>
      <c r="K55" s="46">
        <f t="shared" si="0"/>
        <v>112500</v>
      </c>
      <c r="L55" s="83"/>
      <c r="M55" s="85"/>
      <c r="O55" s="31" t="s">
        <v>489</v>
      </c>
    </row>
    <row r="56" spans="1:15" x14ac:dyDescent="0.3">
      <c r="A56" s="41">
        <v>23</v>
      </c>
      <c r="B56" s="42" t="s">
        <v>30</v>
      </c>
      <c r="C56" s="43" t="s">
        <v>120</v>
      </c>
      <c r="D56" s="43">
        <v>5</v>
      </c>
      <c r="E56" s="44" t="s">
        <v>121</v>
      </c>
      <c r="F56" s="43">
        <v>1</v>
      </c>
      <c r="G56" s="48" t="s">
        <v>159</v>
      </c>
      <c r="H56" s="45" t="s">
        <v>34</v>
      </c>
      <c r="I56" s="46">
        <v>0</v>
      </c>
      <c r="J56" s="47">
        <v>7200</v>
      </c>
      <c r="K56" s="46">
        <f t="shared" si="0"/>
        <v>7200</v>
      </c>
      <c r="L56" s="83"/>
      <c r="M56" s="85"/>
      <c r="O56" s="31" t="s">
        <v>489</v>
      </c>
    </row>
    <row r="57" spans="1:15" x14ac:dyDescent="0.3">
      <c r="A57" s="41">
        <v>25</v>
      </c>
      <c r="B57" s="42" t="s">
        <v>30</v>
      </c>
      <c r="C57" s="43" t="s">
        <v>160</v>
      </c>
      <c r="D57" s="43">
        <v>5</v>
      </c>
      <c r="E57" s="44" t="s">
        <v>161</v>
      </c>
      <c r="F57" s="43">
        <v>1</v>
      </c>
      <c r="G57" s="48" t="s">
        <v>162</v>
      </c>
      <c r="H57" s="45" t="s">
        <v>34</v>
      </c>
      <c r="I57" s="46">
        <v>0</v>
      </c>
      <c r="J57" s="47">
        <v>330</v>
      </c>
      <c r="K57" s="46">
        <f t="shared" si="0"/>
        <v>330</v>
      </c>
      <c r="L57" s="83"/>
      <c r="M57" s="85"/>
      <c r="O57" s="31" t="s">
        <v>489</v>
      </c>
    </row>
    <row r="58" spans="1:15" x14ac:dyDescent="0.3">
      <c r="A58" s="41">
        <v>35</v>
      </c>
      <c r="B58" s="42" t="s">
        <v>30</v>
      </c>
      <c r="C58" s="43" t="s">
        <v>105</v>
      </c>
      <c r="D58" s="43">
        <v>6</v>
      </c>
      <c r="E58" s="44" t="s">
        <v>106</v>
      </c>
      <c r="F58" s="43">
        <v>2</v>
      </c>
      <c r="G58" s="48" t="s">
        <v>163</v>
      </c>
      <c r="H58" s="45" t="s">
        <v>34</v>
      </c>
      <c r="I58" s="46">
        <v>0</v>
      </c>
      <c r="J58" s="47">
        <v>1000</v>
      </c>
      <c r="K58" s="46">
        <f t="shared" si="0"/>
        <v>1000</v>
      </c>
      <c r="L58" s="83"/>
      <c r="M58" s="85"/>
      <c r="O58" s="31" t="s">
        <v>489</v>
      </c>
    </row>
    <row r="59" spans="1:15" x14ac:dyDescent="0.3">
      <c r="A59" s="41">
        <v>35</v>
      </c>
      <c r="B59" s="42" t="s">
        <v>30</v>
      </c>
      <c r="C59" s="43" t="s">
        <v>82</v>
      </c>
      <c r="D59" s="43">
        <v>6</v>
      </c>
      <c r="E59" s="44" t="s">
        <v>83</v>
      </c>
      <c r="F59" s="43">
        <v>100</v>
      </c>
      <c r="G59" s="48" t="s">
        <v>163</v>
      </c>
      <c r="H59" s="45" t="s">
        <v>34</v>
      </c>
      <c r="I59" s="46">
        <v>0</v>
      </c>
      <c r="J59" s="47">
        <v>1000</v>
      </c>
      <c r="K59" s="46">
        <f t="shared" si="0"/>
        <v>1000</v>
      </c>
      <c r="L59" s="83"/>
      <c r="M59" s="85"/>
      <c r="O59" s="31" t="s">
        <v>489</v>
      </c>
    </row>
    <row r="60" spans="1:15" x14ac:dyDescent="0.3">
      <c r="A60" s="41">
        <v>35</v>
      </c>
      <c r="B60" s="42" t="s">
        <v>30</v>
      </c>
      <c r="C60" s="43" t="s">
        <v>103</v>
      </c>
      <c r="D60" s="43">
        <v>6</v>
      </c>
      <c r="E60" s="44" t="s">
        <v>104</v>
      </c>
      <c r="F60" s="43">
        <v>100</v>
      </c>
      <c r="G60" s="48" t="s">
        <v>163</v>
      </c>
      <c r="H60" s="45" t="s">
        <v>34</v>
      </c>
      <c r="I60" s="46">
        <v>0</v>
      </c>
      <c r="J60" s="47">
        <v>1000</v>
      </c>
      <c r="K60" s="46">
        <f t="shared" si="0"/>
        <v>1000</v>
      </c>
      <c r="L60" s="83"/>
      <c r="M60" s="85"/>
      <c r="O60" s="31" t="s">
        <v>489</v>
      </c>
    </row>
    <row r="61" spans="1:15" x14ac:dyDescent="0.3">
      <c r="A61" s="41">
        <v>35</v>
      </c>
      <c r="B61" s="42" t="s">
        <v>30</v>
      </c>
      <c r="C61" s="43" t="s">
        <v>101</v>
      </c>
      <c r="D61" s="43">
        <v>6</v>
      </c>
      <c r="E61" s="44" t="s">
        <v>102</v>
      </c>
      <c r="F61" s="43">
        <v>3</v>
      </c>
      <c r="G61" s="48" t="s">
        <v>163</v>
      </c>
      <c r="H61" s="45" t="s">
        <v>34</v>
      </c>
      <c r="I61" s="46">
        <v>0</v>
      </c>
      <c r="J61" s="47">
        <v>1000</v>
      </c>
      <c r="K61" s="46">
        <f t="shared" ref="K61:K68" si="1">I61+J61</f>
        <v>1000</v>
      </c>
      <c r="L61" s="83"/>
      <c r="M61" s="85"/>
      <c r="O61" s="31" t="s">
        <v>489</v>
      </c>
    </row>
    <row r="62" spans="1:15" x14ac:dyDescent="0.3">
      <c r="A62" s="356">
        <v>55</v>
      </c>
      <c r="B62" s="357" t="s">
        <v>30</v>
      </c>
      <c r="C62" s="358" t="s">
        <v>164</v>
      </c>
      <c r="D62" s="358">
        <v>6</v>
      </c>
      <c r="E62" s="359" t="s">
        <v>533</v>
      </c>
      <c r="F62" s="358">
        <v>3</v>
      </c>
      <c r="G62" s="359" t="s">
        <v>533</v>
      </c>
      <c r="H62" s="360" t="s">
        <v>165</v>
      </c>
      <c r="I62" s="361">
        <v>0</v>
      </c>
      <c r="J62" s="362">
        <v>76471</v>
      </c>
      <c r="K62" s="361">
        <f t="shared" si="1"/>
        <v>76471</v>
      </c>
      <c r="L62" s="363"/>
      <c r="M62" s="364"/>
      <c r="O62" s="31" t="s">
        <v>489</v>
      </c>
    </row>
    <row r="63" spans="1:15" x14ac:dyDescent="0.3">
      <c r="A63" s="41">
        <v>60</v>
      </c>
      <c r="B63" s="42" t="s">
        <v>30</v>
      </c>
      <c r="C63" s="43" t="s">
        <v>166</v>
      </c>
      <c r="D63" s="43">
        <v>6</v>
      </c>
      <c r="E63" s="44" t="s">
        <v>167</v>
      </c>
      <c r="F63" s="43">
        <v>1</v>
      </c>
      <c r="G63" s="48" t="s">
        <v>168</v>
      </c>
      <c r="H63" s="45" t="s">
        <v>34</v>
      </c>
      <c r="I63" s="46">
        <v>0</v>
      </c>
      <c r="J63" s="47">
        <v>1168</v>
      </c>
      <c r="K63" s="46">
        <f t="shared" si="1"/>
        <v>1168</v>
      </c>
      <c r="L63" s="83"/>
      <c r="M63" s="85"/>
      <c r="O63" s="31" t="s">
        <v>489</v>
      </c>
    </row>
    <row r="64" spans="1:15" x14ac:dyDescent="0.3">
      <c r="A64" s="41">
        <v>61</v>
      </c>
      <c r="B64" s="42" t="s">
        <v>30</v>
      </c>
      <c r="C64" s="43" t="s">
        <v>169</v>
      </c>
      <c r="D64" s="43">
        <v>6</v>
      </c>
      <c r="E64" s="44" t="s">
        <v>170</v>
      </c>
      <c r="F64" s="43">
        <v>1</v>
      </c>
      <c r="G64" s="48" t="s">
        <v>168</v>
      </c>
      <c r="H64" s="45" t="s">
        <v>34</v>
      </c>
      <c r="I64" s="46">
        <v>0</v>
      </c>
      <c r="J64" s="47">
        <v>3000</v>
      </c>
      <c r="K64" s="46">
        <f t="shared" si="1"/>
        <v>3000</v>
      </c>
      <c r="L64" s="83"/>
      <c r="M64" s="85"/>
      <c r="O64" s="31" t="s">
        <v>489</v>
      </c>
    </row>
    <row r="65" spans="1:15" x14ac:dyDescent="0.3">
      <c r="A65" s="41">
        <v>62</v>
      </c>
      <c r="B65" s="42" t="s">
        <v>30</v>
      </c>
      <c r="C65" s="43" t="s">
        <v>171</v>
      </c>
      <c r="D65" s="43">
        <v>6</v>
      </c>
      <c r="E65" s="44" t="s">
        <v>172</v>
      </c>
      <c r="F65" s="43">
        <v>1</v>
      </c>
      <c r="G65" s="48" t="s">
        <v>168</v>
      </c>
      <c r="H65" s="45" t="s">
        <v>34</v>
      </c>
      <c r="I65" s="46">
        <v>0</v>
      </c>
      <c r="J65" s="47">
        <v>1122</v>
      </c>
      <c r="K65" s="46">
        <f t="shared" si="1"/>
        <v>1122</v>
      </c>
      <c r="L65" s="83"/>
      <c r="M65" s="85"/>
      <c r="O65" s="31" t="s">
        <v>489</v>
      </c>
    </row>
    <row r="66" spans="1:15" x14ac:dyDescent="0.3">
      <c r="A66" s="41">
        <v>57</v>
      </c>
      <c r="B66" s="42" t="s">
        <v>30</v>
      </c>
      <c r="C66" s="43" t="s">
        <v>148</v>
      </c>
      <c r="D66" s="43">
        <v>7</v>
      </c>
      <c r="E66" s="44" t="s">
        <v>149</v>
      </c>
      <c r="F66" s="43">
        <v>1</v>
      </c>
      <c r="G66" s="48" t="s">
        <v>173</v>
      </c>
      <c r="H66" s="45" t="s">
        <v>34</v>
      </c>
      <c r="I66" s="46">
        <v>5970</v>
      </c>
      <c r="J66" s="47">
        <v>0</v>
      </c>
      <c r="K66" s="46">
        <f t="shared" si="1"/>
        <v>5970</v>
      </c>
      <c r="L66" s="83"/>
      <c r="M66" s="85"/>
      <c r="O66" s="31" t="s">
        <v>489</v>
      </c>
    </row>
    <row r="67" spans="1:15" x14ac:dyDescent="0.3">
      <c r="A67" s="41">
        <v>58</v>
      </c>
      <c r="B67" s="42" t="s">
        <v>30</v>
      </c>
      <c r="C67" s="43" t="s">
        <v>138</v>
      </c>
      <c r="D67" s="43">
        <v>7</v>
      </c>
      <c r="E67" s="44" t="s">
        <v>139</v>
      </c>
      <c r="F67" s="43">
        <v>1</v>
      </c>
      <c r="G67" s="48" t="s">
        <v>174</v>
      </c>
      <c r="H67" s="45" t="s">
        <v>34</v>
      </c>
      <c r="I67" s="46">
        <v>0</v>
      </c>
      <c r="J67" s="47">
        <v>2000</v>
      </c>
      <c r="K67" s="46">
        <f t="shared" si="1"/>
        <v>2000</v>
      </c>
      <c r="L67" s="83"/>
      <c r="M67" s="85"/>
      <c r="O67" s="31" t="s">
        <v>489</v>
      </c>
    </row>
    <row r="68" spans="1:15" x14ac:dyDescent="0.3">
      <c r="A68" s="41">
        <v>66</v>
      </c>
      <c r="B68" s="42" t="s">
        <v>30</v>
      </c>
      <c r="C68" s="43" t="s">
        <v>133</v>
      </c>
      <c r="D68" s="43">
        <v>7</v>
      </c>
      <c r="E68" s="44" t="s">
        <v>134</v>
      </c>
      <c r="F68" s="43">
        <v>2</v>
      </c>
      <c r="G68" s="48" t="s">
        <v>176</v>
      </c>
      <c r="H68" s="45" t="s">
        <v>34</v>
      </c>
      <c r="I68" s="46">
        <v>5333</v>
      </c>
      <c r="J68" s="47">
        <v>195472</v>
      </c>
      <c r="K68" s="46">
        <f t="shared" si="1"/>
        <v>200805</v>
      </c>
      <c r="L68" s="83"/>
      <c r="M68" s="85"/>
      <c r="O68" s="31" t="s">
        <v>490</v>
      </c>
    </row>
    <row r="69" spans="1:15" x14ac:dyDescent="0.3">
      <c r="A69" s="56"/>
      <c r="B69" s="56"/>
      <c r="C69" s="56"/>
      <c r="D69" s="56"/>
      <c r="E69" s="56"/>
      <c r="F69" s="56"/>
      <c r="G69" s="57" t="s">
        <v>190</v>
      </c>
      <c r="H69" s="56"/>
      <c r="I69" s="58">
        <f>SUMIF($L5:$L68,"YES",$I5:$I68)</f>
        <v>0</v>
      </c>
      <c r="J69" s="58">
        <f>SUMIF($L5:$L68,"YES",$J5:$J68)</f>
        <v>0</v>
      </c>
      <c r="K69" s="58">
        <f>SUMIF($L5:$L68,"YES",$K5:$K68)</f>
        <v>0</v>
      </c>
      <c r="L69" s="56"/>
      <c r="M69" s="56"/>
    </row>
    <row r="70" spans="1:15" x14ac:dyDescent="0.3">
      <c r="A70" s="79"/>
      <c r="B70" s="79"/>
      <c r="C70" s="79"/>
      <c r="D70" s="79"/>
      <c r="E70" s="79"/>
      <c r="F70" s="79"/>
      <c r="G70" s="79"/>
      <c r="H70" s="79"/>
      <c r="I70" s="79"/>
      <c r="J70" s="79"/>
      <c r="K70" s="79"/>
      <c r="L70" s="79"/>
      <c r="M70" s="79"/>
    </row>
    <row r="71" spans="1:15" ht="18" x14ac:dyDescent="0.35">
      <c r="A71" s="313" t="s">
        <v>267</v>
      </c>
      <c r="B71" s="314"/>
      <c r="C71" s="314"/>
      <c r="D71" s="314"/>
      <c r="E71" s="314"/>
      <c r="F71" s="314"/>
      <c r="G71" s="314"/>
      <c r="H71" s="314"/>
      <c r="I71" s="314"/>
      <c r="J71" s="314"/>
      <c r="K71" s="314"/>
      <c r="L71" s="314"/>
      <c r="M71" s="315"/>
    </row>
    <row r="72" spans="1:15" ht="31.8" x14ac:dyDescent="0.3">
      <c r="A72" s="34" t="s">
        <v>181</v>
      </c>
      <c r="B72" s="35" t="s">
        <v>21</v>
      </c>
      <c r="C72" s="35" t="s">
        <v>177</v>
      </c>
      <c r="D72" s="35" t="s">
        <v>22</v>
      </c>
      <c r="E72" s="36" t="s">
        <v>23</v>
      </c>
      <c r="F72" s="37" t="s">
        <v>180</v>
      </c>
      <c r="G72" s="36" t="s">
        <v>24</v>
      </c>
      <c r="H72" s="38" t="s">
        <v>26</v>
      </c>
      <c r="I72" s="39" t="s">
        <v>228</v>
      </c>
      <c r="J72" s="39" t="s">
        <v>229</v>
      </c>
      <c r="K72" s="39" t="s">
        <v>29</v>
      </c>
      <c r="L72" s="93" t="s">
        <v>178</v>
      </c>
      <c r="M72" s="40" t="s">
        <v>179</v>
      </c>
    </row>
    <row r="73" spans="1:15" x14ac:dyDescent="0.3">
      <c r="A73" s="41"/>
      <c r="B73" s="42" t="s">
        <v>30</v>
      </c>
      <c r="C73" s="43" t="s">
        <v>56</v>
      </c>
      <c r="D73" s="43"/>
      <c r="E73" s="44" t="s">
        <v>57</v>
      </c>
      <c r="F73" s="43">
        <v>1</v>
      </c>
      <c r="G73" s="44" t="s">
        <v>213</v>
      </c>
      <c r="H73" s="45" t="s">
        <v>34</v>
      </c>
      <c r="I73" s="46">
        <v>5303</v>
      </c>
      <c r="J73" s="47">
        <v>138390</v>
      </c>
      <c r="K73" s="46">
        <f t="shared" ref="K73:K83" si="2">I73+J73</f>
        <v>143693</v>
      </c>
      <c r="L73" s="83"/>
      <c r="M73" s="84"/>
      <c r="O73" s="31" t="s">
        <v>490</v>
      </c>
    </row>
    <row r="74" spans="1:15" x14ac:dyDescent="0.3">
      <c r="A74" s="41"/>
      <c r="B74" s="42" t="s">
        <v>30</v>
      </c>
      <c r="C74" s="43" t="s">
        <v>73</v>
      </c>
      <c r="D74" s="43"/>
      <c r="E74" s="44" t="s">
        <v>74</v>
      </c>
      <c r="F74" s="43">
        <v>2</v>
      </c>
      <c r="G74" s="48" t="s">
        <v>214</v>
      </c>
      <c r="H74" s="45" t="s">
        <v>34</v>
      </c>
      <c r="I74" s="46">
        <v>156695</v>
      </c>
      <c r="J74" s="47">
        <v>190025</v>
      </c>
      <c r="K74" s="46">
        <f t="shared" si="2"/>
        <v>346720</v>
      </c>
      <c r="L74" s="83"/>
      <c r="M74" s="85"/>
      <c r="O74" s="31" t="s">
        <v>489</v>
      </c>
    </row>
    <row r="75" spans="1:15" x14ac:dyDescent="0.3">
      <c r="A75" s="41"/>
      <c r="B75" s="42" t="s">
        <v>30</v>
      </c>
      <c r="C75" s="43" t="s">
        <v>70</v>
      </c>
      <c r="D75" s="43"/>
      <c r="E75" s="44" t="s">
        <v>71</v>
      </c>
      <c r="F75" s="43">
        <v>6</v>
      </c>
      <c r="G75" s="48" t="s">
        <v>215</v>
      </c>
      <c r="H75" s="45" t="s">
        <v>34</v>
      </c>
      <c r="I75" s="46">
        <v>156695</v>
      </c>
      <c r="J75" s="47">
        <v>190025</v>
      </c>
      <c r="K75" s="46">
        <f t="shared" si="2"/>
        <v>346720</v>
      </c>
      <c r="L75" s="83"/>
      <c r="M75" s="85"/>
      <c r="O75" s="31" t="s">
        <v>489</v>
      </c>
    </row>
    <row r="76" spans="1:15" x14ac:dyDescent="0.3">
      <c r="A76" s="41"/>
      <c r="B76" s="42" t="s">
        <v>30</v>
      </c>
      <c r="C76" s="43" t="s">
        <v>70</v>
      </c>
      <c r="D76" s="43"/>
      <c r="E76" s="44" t="s">
        <v>71</v>
      </c>
      <c r="F76" s="43">
        <v>10</v>
      </c>
      <c r="G76" s="48" t="s">
        <v>216</v>
      </c>
      <c r="H76" s="45" t="s">
        <v>34</v>
      </c>
      <c r="I76" s="46">
        <v>0</v>
      </c>
      <c r="J76" s="47">
        <v>143000</v>
      </c>
      <c r="K76" s="46">
        <f t="shared" si="2"/>
        <v>143000</v>
      </c>
      <c r="L76" s="83"/>
      <c r="M76" s="85"/>
      <c r="O76" s="31" t="s">
        <v>489</v>
      </c>
    </row>
    <row r="77" spans="1:15" x14ac:dyDescent="0.3">
      <c r="A77" s="41"/>
      <c r="B77" s="42" t="s">
        <v>30</v>
      </c>
      <c r="C77" s="43" t="s">
        <v>64</v>
      </c>
      <c r="D77" s="43"/>
      <c r="E77" s="44" t="s">
        <v>65</v>
      </c>
      <c r="F77" s="43">
        <v>4</v>
      </c>
      <c r="G77" s="48" t="s">
        <v>217</v>
      </c>
      <c r="H77" s="45" t="s">
        <v>34</v>
      </c>
      <c r="I77" s="46">
        <v>16248</v>
      </c>
      <c r="J77" s="47">
        <v>0</v>
      </c>
      <c r="K77" s="46">
        <f t="shared" si="2"/>
        <v>16248</v>
      </c>
      <c r="L77" s="83"/>
      <c r="M77" s="85"/>
      <c r="O77" s="31" t="s">
        <v>489</v>
      </c>
    </row>
    <row r="78" spans="1:15" x14ac:dyDescent="0.3">
      <c r="A78" s="41"/>
      <c r="B78" s="42" t="s">
        <v>30</v>
      </c>
      <c r="C78" s="43" t="s">
        <v>129</v>
      </c>
      <c r="D78" s="43"/>
      <c r="E78" s="44" t="s">
        <v>130</v>
      </c>
      <c r="F78" s="43">
        <v>1</v>
      </c>
      <c r="G78" s="48" t="s">
        <v>218</v>
      </c>
      <c r="H78" s="45" t="s">
        <v>34</v>
      </c>
      <c r="I78" s="46">
        <v>1709830</v>
      </c>
      <c r="J78" s="47">
        <v>2864490</v>
      </c>
      <c r="K78" s="46">
        <f t="shared" si="2"/>
        <v>4574320</v>
      </c>
      <c r="L78" s="83"/>
      <c r="M78" s="85"/>
      <c r="O78" s="31" t="s">
        <v>490</v>
      </c>
    </row>
    <row r="79" spans="1:15" x14ac:dyDescent="0.3">
      <c r="A79" s="41"/>
      <c r="B79" s="42" t="s">
        <v>30</v>
      </c>
      <c r="C79" s="43" t="s">
        <v>126</v>
      </c>
      <c r="D79" s="43"/>
      <c r="E79" s="44" t="s">
        <v>127</v>
      </c>
      <c r="F79" s="43">
        <v>1</v>
      </c>
      <c r="G79" s="48" t="s">
        <v>219</v>
      </c>
      <c r="H79" s="45" t="s">
        <v>34</v>
      </c>
      <c r="I79" s="46">
        <v>36530</v>
      </c>
      <c r="J79" s="47">
        <v>601465</v>
      </c>
      <c r="K79" s="46">
        <f t="shared" si="2"/>
        <v>637995</v>
      </c>
      <c r="L79" s="83"/>
      <c r="M79" s="85"/>
      <c r="O79" s="31" t="s">
        <v>490</v>
      </c>
    </row>
    <row r="80" spans="1:15" x14ac:dyDescent="0.3">
      <c r="A80" s="41"/>
      <c r="B80" s="42" t="s">
        <v>30</v>
      </c>
      <c r="C80" s="43" t="s">
        <v>126</v>
      </c>
      <c r="D80" s="43"/>
      <c r="E80" s="44" t="s">
        <v>127</v>
      </c>
      <c r="F80" s="43">
        <v>2</v>
      </c>
      <c r="G80" s="44" t="s">
        <v>220</v>
      </c>
      <c r="H80" s="45" t="s">
        <v>34</v>
      </c>
      <c r="I80" s="46">
        <v>9982</v>
      </c>
      <c r="J80" s="47">
        <v>191786</v>
      </c>
      <c r="K80" s="46">
        <f t="shared" si="2"/>
        <v>201768</v>
      </c>
      <c r="L80" s="83"/>
      <c r="M80" s="84"/>
      <c r="O80" s="31" t="s">
        <v>490</v>
      </c>
    </row>
    <row r="81" spans="1:15" x14ac:dyDescent="0.3">
      <c r="A81" s="41"/>
      <c r="B81" s="42" t="s">
        <v>30</v>
      </c>
      <c r="C81" s="49" t="s">
        <v>126</v>
      </c>
      <c r="D81" s="49"/>
      <c r="E81" s="44" t="s">
        <v>127</v>
      </c>
      <c r="F81" s="43">
        <v>5</v>
      </c>
      <c r="G81" s="48" t="s">
        <v>221</v>
      </c>
      <c r="H81" s="45" t="s">
        <v>34</v>
      </c>
      <c r="I81" s="46">
        <v>0</v>
      </c>
      <c r="J81" s="47">
        <v>376160</v>
      </c>
      <c r="K81" s="46">
        <f t="shared" si="2"/>
        <v>376160</v>
      </c>
      <c r="L81" s="83"/>
      <c r="M81" s="85"/>
      <c r="O81" s="31" t="s">
        <v>490</v>
      </c>
    </row>
    <row r="82" spans="1:15" x14ac:dyDescent="0.3">
      <c r="A82" s="41"/>
      <c r="B82" s="42" t="s">
        <v>30</v>
      </c>
      <c r="C82" s="49" t="s">
        <v>197</v>
      </c>
      <c r="D82" s="49"/>
      <c r="E82" s="44" t="s">
        <v>198</v>
      </c>
      <c r="F82" s="43">
        <v>1</v>
      </c>
      <c r="G82" s="48" t="s">
        <v>222</v>
      </c>
      <c r="H82" s="45" t="s">
        <v>34</v>
      </c>
      <c r="I82" s="46">
        <v>0</v>
      </c>
      <c r="J82" s="47">
        <v>155929</v>
      </c>
      <c r="K82" s="46">
        <f t="shared" si="2"/>
        <v>155929</v>
      </c>
      <c r="L82" s="83"/>
      <c r="M82" s="85"/>
      <c r="O82" s="31" t="s">
        <v>490</v>
      </c>
    </row>
    <row r="83" spans="1:15" x14ac:dyDescent="0.3">
      <c r="A83" s="41"/>
      <c r="B83" s="42" t="s">
        <v>30</v>
      </c>
      <c r="C83" s="43" t="s">
        <v>199</v>
      </c>
      <c r="D83" s="43"/>
      <c r="E83" s="44" t="s">
        <v>200</v>
      </c>
      <c r="F83" s="43">
        <v>1</v>
      </c>
      <c r="G83" s="48" t="s">
        <v>223</v>
      </c>
      <c r="H83" s="45" t="s">
        <v>34</v>
      </c>
      <c r="I83" s="46">
        <v>0</v>
      </c>
      <c r="J83" s="47">
        <v>10000</v>
      </c>
      <c r="K83" s="46">
        <f t="shared" si="2"/>
        <v>10000</v>
      </c>
      <c r="L83" s="83"/>
      <c r="M83" s="85"/>
      <c r="O83" s="31" t="s">
        <v>489</v>
      </c>
    </row>
    <row r="84" spans="1:15" x14ac:dyDescent="0.3">
      <c r="A84" s="56"/>
      <c r="B84" s="56"/>
      <c r="C84" s="56"/>
      <c r="D84" s="56"/>
      <c r="E84" s="56"/>
      <c r="F84" s="56"/>
      <c r="G84" s="57" t="s">
        <v>230</v>
      </c>
      <c r="H84" s="56"/>
      <c r="I84" s="58">
        <f>SUMIF($L73:$L83,"YES",$I73:$I83)</f>
        <v>0</v>
      </c>
      <c r="J84" s="58">
        <f>SUMIF($L73:$L83,"YES",$J73:$J83)</f>
        <v>0</v>
      </c>
      <c r="K84" s="58">
        <f>SUMIF($L73:$L83,"YES",$K73:$K83)</f>
        <v>0</v>
      </c>
      <c r="L84" s="56"/>
      <c r="M84" s="56"/>
    </row>
    <row r="85" spans="1:15" x14ac:dyDescent="0.3">
      <c r="A85" s="79"/>
      <c r="B85" s="79"/>
      <c r="C85" s="79"/>
      <c r="D85" s="79"/>
      <c r="E85" s="79"/>
      <c r="F85" s="79"/>
      <c r="G85" s="79"/>
      <c r="H85" s="79"/>
      <c r="I85" s="79"/>
      <c r="J85" s="79"/>
      <c r="K85" s="79"/>
      <c r="L85" s="79"/>
      <c r="M85" s="79"/>
    </row>
    <row r="86" spans="1:15" ht="18" x14ac:dyDescent="0.35">
      <c r="A86" s="313" t="s">
        <v>268</v>
      </c>
      <c r="B86" s="314"/>
      <c r="C86" s="314"/>
      <c r="D86" s="314"/>
      <c r="E86" s="314"/>
      <c r="F86" s="314"/>
      <c r="G86" s="314"/>
      <c r="H86" s="314"/>
      <c r="I86" s="314"/>
      <c r="J86" s="314"/>
      <c r="K86" s="314"/>
      <c r="L86" s="314"/>
      <c r="M86" s="315"/>
    </row>
    <row r="87" spans="1:15" ht="27.6" x14ac:dyDescent="0.3">
      <c r="A87" s="34"/>
      <c r="B87" s="35" t="s">
        <v>21</v>
      </c>
      <c r="C87" s="35" t="s">
        <v>177</v>
      </c>
      <c r="D87" s="35"/>
      <c r="E87" s="36"/>
      <c r="F87" s="37"/>
      <c r="G87" s="316" t="s">
        <v>194</v>
      </c>
      <c r="H87" s="316"/>
      <c r="I87" s="39" t="s">
        <v>183</v>
      </c>
      <c r="J87" s="39" t="s">
        <v>184</v>
      </c>
      <c r="K87" s="39" t="s">
        <v>185</v>
      </c>
      <c r="L87" s="93" t="s">
        <v>178</v>
      </c>
      <c r="M87" s="40" t="s">
        <v>179</v>
      </c>
    </row>
    <row r="88" spans="1:15" ht="14.4" customHeight="1" x14ac:dyDescent="0.3">
      <c r="A88" s="52"/>
      <c r="B88" s="42" t="s">
        <v>30</v>
      </c>
      <c r="C88" s="59" t="s">
        <v>186</v>
      </c>
      <c r="D88" s="298" t="s">
        <v>238</v>
      </c>
      <c r="E88" s="299"/>
      <c r="F88" s="300"/>
      <c r="G88" s="301" t="s">
        <v>189</v>
      </c>
      <c r="H88" s="302"/>
      <c r="I88" s="46">
        <v>0</v>
      </c>
      <c r="J88" s="47">
        <v>4834692</v>
      </c>
      <c r="K88" s="46">
        <f t="shared" ref="K88:K92" si="3">I88+J88</f>
        <v>4834692</v>
      </c>
      <c r="L88" s="83"/>
      <c r="M88" s="85"/>
      <c r="O88" s="31" t="s">
        <v>490</v>
      </c>
    </row>
    <row r="89" spans="1:15" x14ac:dyDescent="0.3">
      <c r="A89" s="41"/>
      <c r="B89" s="42" t="s">
        <v>30</v>
      </c>
      <c r="C89" s="59" t="s">
        <v>186</v>
      </c>
      <c r="D89" s="298" t="s">
        <v>238</v>
      </c>
      <c r="E89" s="299"/>
      <c r="F89" s="300"/>
      <c r="G89" s="301" t="s">
        <v>187</v>
      </c>
      <c r="H89" s="302"/>
      <c r="I89" s="46">
        <v>0</v>
      </c>
      <c r="J89" s="47">
        <v>279504</v>
      </c>
      <c r="K89" s="46">
        <f t="shared" si="3"/>
        <v>279504</v>
      </c>
      <c r="L89" s="83"/>
      <c r="M89" s="84"/>
      <c r="O89" s="31" t="s">
        <v>490</v>
      </c>
    </row>
    <row r="90" spans="1:15" x14ac:dyDescent="0.3">
      <c r="A90" s="41"/>
      <c r="B90" s="42" t="s">
        <v>30</v>
      </c>
      <c r="C90" s="59" t="s">
        <v>186</v>
      </c>
      <c r="D90" s="298" t="s">
        <v>238</v>
      </c>
      <c r="E90" s="299"/>
      <c r="F90" s="300"/>
      <c r="G90" s="301" t="s">
        <v>188</v>
      </c>
      <c r="H90" s="302"/>
      <c r="I90" s="46">
        <v>0</v>
      </c>
      <c r="J90" s="47">
        <v>3302385</v>
      </c>
      <c r="K90" s="46">
        <f t="shared" si="3"/>
        <v>3302385</v>
      </c>
      <c r="L90" s="83"/>
      <c r="M90" s="84"/>
      <c r="O90" s="31" t="s">
        <v>490</v>
      </c>
    </row>
    <row r="91" spans="1:15" x14ac:dyDescent="0.3">
      <c r="A91" s="41"/>
      <c r="B91" s="42"/>
      <c r="C91" s="43"/>
      <c r="D91" s="329"/>
      <c r="E91" s="299"/>
      <c r="F91" s="300"/>
      <c r="G91" s="301"/>
      <c r="H91" s="302"/>
      <c r="I91" s="46"/>
      <c r="J91" s="47"/>
      <c r="K91" s="46">
        <f t="shared" si="3"/>
        <v>0</v>
      </c>
      <c r="L91" s="83"/>
      <c r="M91" s="85"/>
    </row>
    <row r="92" spans="1:15" x14ac:dyDescent="0.3">
      <c r="A92" s="41"/>
      <c r="B92" s="42"/>
      <c r="C92" s="43"/>
      <c r="D92" s="329"/>
      <c r="E92" s="299"/>
      <c r="F92" s="300"/>
      <c r="G92" s="301"/>
      <c r="H92" s="302"/>
      <c r="I92" s="46"/>
      <c r="J92" s="47"/>
      <c r="K92" s="46">
        <f t="shared" si="3"/>
        <v>0</v>
      </c>
      <c r="L92" s="83"/>
      <c r="M92" s="85"/>
    </row>
    <row r="93" spans="1:15" x14ac:dyDescent="0.3">
      <c r="A93" s="56"/>
      <c r="B93" s="56"/>
      <c r="C93" s="56"/>
      <c r="D93" s="56"/>
      <c r="E93" s="56"/>
      <c r="F93" s="56"/>
      <c r="G93" s="57" t="s">
        <v>191</v>
      </c>
      <c r="H93" s="56"/>
      <c r="I93" s="58">
        <f>SUMIF($L88:$L92,"YES",$I88:$I92)</f>
        <v>0</v>
      </c>
      <c r="J93" s="58">
        <f>SUMIF($L88:$L92,"YES",$J88:$J92)</f>
        <v>0</v>
      </c>
      <c r="K93" s="58">
        <f>SUMIF($L88:$L92,"YES",$K88:$K92)</f>
        <v>0</v>
      </c>
      <c r="L93" s="56"/>
      <c r="M93" s="56"/>
    </row>
    <row r="94" spans="1:15" x14ac:dyDescent="0.3">
      <c r="A94" s="79"/>
      <c r="B94" s="79"/>
      <c r="C94" s="79"/>
      <c r="D94" s="79"/>
      <c r="E94" s="79"/>
      <c r="F94" s="79"/>
      <c r="G94" s="79"/>
      <c r="H94" s="79"/>
      <c r="I94" s="79"/>
      <c r="J94" s="79"/>
      <c r="K94" s="79"/>
      <c r="L94" s="79"/>
      <c r="M94" s="79"/>
    </row>
    <row r="95" spans="1:15" ht="18" x14ac:dyDescent="0.35">
      <c r="A95" s="313" t="s">
        <v>269</v>
      </c>
      <c r="B95" s="314"/>
      <c r="C95" s="314"/>
      <c r="D95" s="314"/>
      <c r="E95" s="314"/>
      <c r="F95" s="314"/>
      <c r="G95" s="314"/>
      <c r="H95" s="314"/>
      <c r="I95" s="314"/>
      <c r="J95" s="314"/>
      <c r="K95" s="314"/>
      <c r="L95" s="314"/>
      <c r="M95" s="315"/>
    </row>
    <row r="96" spans="1:15" ht="27.6" x14ac:dyDescent="0.3">
      <c r="A96" s="34"/>
      <c r="B96" s="35" t="s">
        <v>21</v>
      </c>
      <c r="C96" s="35" t="s">
        <v>177</v>
      </c>
      <c r="D96" s="316" t="s">
        <v>23</v>
      </c>
      <c r="E96" s="316"/>
      <c r="F96" s="316"/>
      <c r="G96" s="316" t="s">
        <v>194</v>
      </c>
      <c r="H96" s="316"/>
      <c r="I96" s="39" t="s">
        <v>183</v>
      </c>
      <c r="J96" s="39" t="s">
        <v>184</v>
      </c>
      <c r="K96" s="39" t="s">
        <v>185</v>
      </c>
      <c r="L96" s="93" t="s">
        <v>178</v>
      </c>
      <c r="M96" s="40" t="s">
        <v>179</v>
      </c>
    </row>
    <row r="97" spans="1:13" x14ac:dyDescent="0.3">
      <c r="A97" s="52"/>
      <c r="B97" s="42" t="s">
        <v>30</v>
      </c>
      <c r="C97" s="59" t="s">
        <v>186</v>
      </c>
      <c r="D97" s="298" t="s">
        <v>238</v>
      </c>
      <c r="E97" s="299"/>
      <c r="F97" s="300"/>
      <c r="G97" s="301" t="s">
        <v>193</v>
      </c>
      <c r="H97" s="302"/>
      <c r="I97" s="46"/>
      <c r="J97" s="47"/>
      <c r="K97" s="46">
        <v>359697366</v>
      </c>
      <c r="L97" s="45" t="s">
        <v>182</v>
      </c>
      <c r="M97" s="85"/>
    </row>
    <row r="98" spans="1:13" x14ac:dyDescent="0.3">
      <c r="A98" s="41"/>
      <c r="B98" s="42" t="s">
        <v>30</v>
      </c>
      <c r="C98" s="59" t="s">
        <v>186</v>
      </c>
      <c r="D98" s="298" t="s">
        <v>238</v>
      </c>
      <c r="E98" s="299"/>
      <c r="F98" s="300"/>
      <c r="G98" s="301" t="s">
        <v>195</v>
      </c>
      <c r="H98" s="302"/>
      <c r="I98" s="46">
        <f>I69</f>
        <v>0</v>
      </c>
      <c r="J98" s="47">
        <f>J69</f>
        <v>0</v>
      </c>
      <c r="K98" s="46">
        <f t="shared" ref="K98:K102" si="4">I98+J98</f>
        <v>0</v>
      </c>
      <c r="L98" s="45" t="s">
        <v>182</v>
      </c>
      <c r="M98" s="84"/>
    </row>
    <row r="99" spans="1:13" x14ac:dyDescent="0.3">
      <c r="A99" s="41"/>
      <c r="B99" s="42" t="s">
        <v>30</v>
      </c>
      <c r="C99" s="59" t="s">
        <v>186</v>
      </c>
      <c r="D99" s="298" t="s">
        <v>238</v>
      </c>
      <c r="E99" s="299"/>
      <c r="F99" s="300"/>
      <c r="G99" s="301" t="s">
        <v>196</v>
      </c>
      <c r="H99" s="302"/>
      <c r="I99" s="46">
        <f>I93</f>
        <v>0</v>
      </c>
      <c r="J99" s="47">
        <f>J93</f>
        <v>0</v>
      </c>
      <c r="K99" s="46">
        <f t="shared" si="4"/>
        <v>0</v>
      </c>
      <c r="L99" s="45" t="s">
        <v>182</v>
      </c>
      <c r="M99" s="84"/>
    </row>
    <row r="100" spans="1:13" x14ac:dyDescent="0.3">
      <c r="A100" s="41"/>
      <c r="B100" s="42" t="s">
        <v>30</v>
      </c>
      <c r="C100" s="59" t="s">
        <v>186</v>
      </c>
      <c r="D100" s="298" t="s">
        <v>238</v>
      </c>
      <c r="E100" s="299"/>
      <c r="F100" s="300"/>
      <c r="G100" s="301" t="s">
        <v>232</v>
      </c>
      <c r="H100" s="302"/>
      <c r="I100" s="46">
        <f>I84</f>
        <v>0</v>
      </c>
      <c r="J100" s="47">
        <f>J84</f>
        <v>0</v>
      </c>
      <c r="K100" s="46">
        <f t="shared" si="4"/>
        <v>0</v>
      </c>
      <c r="L100" s="45" t="s">
        <v>182</v>
      </c>
      <c r="M100" s="85"/>
    </row>
    <row r="101" spans="1:13" x14ac:dyDescent="0.3">
      <c r="A101" s="41"/>
      <c r="B101" s="42" t="s">
        <v>30</v>
      </c>
      <c r="C101" s="276" t="s">
        <v>88</v>
      </c>
      <c r="D101" s="318" t="s">
        <v>89</v>
      </c>
      <c r="E101" s="319"/>
      <c r="F101" s="320"/>
      <c r="G101" s="321" t="s">
        <v>531</v>
      </c>
      <c r="H101" s="323"/>
      <c r="I101" s="88">
        <v>79689</v>
      </c>
      <c r="J101" s="89">
        <v>464568</v>
      </c>
      <c r="K101" s="46">
        <f t="shared" si="4"/>
        <v>544257</v>
      </c>
      <c r="L101" s="83"/>
      <c r="M101" s="85"/>
    </row>
    <row r="102" spans="1:13" x14ac:dyDescent="0.3">
      <c r="A102" s="41"/>
      <c r="B102" s="42" t="s">
        <v>30</v>
      </c>
      <c r="C102" s="87"/>
      <c r="D102" s="318"/>
      <c r="E102" s="327"/>
      <c r="F102" s="328"/>
      <c r="G102" s="321"/>
      <c r="H102" s="323"/>
      <c r="I102" s="88"/>
      <c r="J102" s="89"/>
      <c r="K102" s="46">
        <f t="shared" si="4"/>
        <v>0</v>
      </c>
      <c r="L102" s="83"/>
      <c r="M102" s="85"/>
    </row>
    <row r="103" spans="1:13" x14ac:dyDescent="0.3">
      <c r="A103" s="52"/>
      <c r="B103" s="42" t="s">
        <v>30</v>
      </c>
      <c r="C103" s="87"/>
      <c r="D103" s="330"/>
      <c r="E103" s="319"/>
      <c r="F103" s="320"/>
      <c r="G103" s="321"/>
      <c r="H103" s="323"/>
      <c r="I103" s="88"/>
      <c r="J103" s="89"/>
      <c r="K103" s="46">
        <f t="shared" ref="K103:K108" si="5">I103+J103</f>
        <v>0</v>
      </c>
      <c r="L103" s="83"/>
      <c r="M103" s="85"/>
    </row>
    <row r="104" spans="1:13" x14ac:dyDescent="0.3">
      <c r="A104" s="41"/>
      <c r="B104" s="42" t="s">
        <v>30</v>
      </c>
      <c r="C104" s="87"/>
      <c r="D104" s="330"/>
      <c r="E104" s="319"/>
      <c r="F104" s="320"/>
      <c r="G104" s="321"/>
      <c r="H104" s="323"/>
      <c r="I104" s="88"/>
      <c r="J104" s="89"/>
      <c r="K104" s="46">
        <f t="shared" si="5"/>
        <v>0</v>
      </c>
      <c r="L104" s="83"/>
      <c r="M104" s="84"/>
    </row>
    <row r="105" spans="1:13" x14ac:dyDescent="0.3">
      <c r="A105" s="41"/>
      <c r="B105" s="42" t="s">
        <v>30</v>
      </c>
      <c r="C105" s="87"/>
      <c r="D105" s="330"/>
      <c r="E105" s="319"/>
      <c r="F105" s="320"/>
      <c r="G105" s="321"/>
      <c r="H105" s="323"/>
      <c r="I105" s="88"/>
      <c r="J105" s="89"/>
      <c r="K105" s="46">
        <f t="shared" si="5"/>
        <v>0</v>
      </c>
      <c r="L105" s="83"/>
      <c r="M105" s="84"/>
    </row>
    <row r="106" spans="1:13" x14ac:dyDescent="0.3">
      <c r="A106" s="41"/>
      <c r="B106" s="42" t="s">
        <v>30</v>
      </c>
      <c r="C106" s="87"/>
      <c r="D106" s="330"/>
      <c r="E106" s="319"/>
      <c r="F106" s="320"/>
      <c r="G106" s="321"/>
      <c r="H106" s="323"/>
      <c r="I106" s="88"/>
      <c r="J106" s="89"/>
      <c r="K106" s="46">
        <f t="shared" si="5"/>
        <v>0</v>
      </c>
      <c r="L106" s="83"/>
      <c r="M106" s="85"/>
    </row>
    <row r="107" spans="1:13" x14ac:dyDescent="0.3">
      <c r="A107" s="41"/>
      <c r="B107" s="42" t="s">
        <v>30</v>
      </c>
      <c r="C107" s="87"/>
      <c r="D107" s="330"/>
      <c r="E107" s="319"/>
      <c r="F107" s="320"/>
      <c r="G107" s="321"/>
      <c r="H107" s="323"/>
      <c r="I107" s="88"/>
      <c r="J107" s="89"/>
      <c r="K107" s="46">
        <f t="shared" si="5"/>
        <v>0</v>
      </c>
      <c r="L107" s="83"/>
      <c r="M107" s="85"/>
    </row>
    <row r="108" spans="1:13" x14ac:dyDescent="0.3">
      <c r="A108" s="41"/>
      <c r="B108" s="42" t="s">
        <v>30</v>
      </c>
      <c r="C108" s="87"/>
      <c r="D108" s="330"/>
      <c r="E108" s="319"/>
      <c r="F108" s="320"/>
      <c r="G108" s="321"/>
      <c r="H108" s="323"/>
      <c r="I108" s="88"/>
      <c r="J108" s="89"/>
      <c r="K108" s="46">
        <f t="shared" si="5"/>
        <v>0</v>
      </c>
      <c r="L108" s="83"/>
      <c r="M108" s="85"/>
    </row>
    <row r="109" spans="1:13" x14ac:dyDescent="0.3">
      <c r="A109" s="52"/>
      <c r="B109" s="42" t="s">
        <v>30</v>
      </c>
      <c r="C109" s="87"/>
      <c r="D109" s="330"/>
      <c r="E109" s="319"/>
      <c r="F109" s="320"/>
      <c r="G109" s="321"/>
      <c r="H109" s="323"/>
      <c r="I109" s="88"/>
      <c r="J109" s="89"/>
      <c r="K109" s="46">
        <f t="shared" ref="K109:K114" si="6">I109+J109</f>
        <v>0</v>
      </c>
      <c r="L109" s="83"/>
      <c r="M109" s="85"/>
    </row>
    <row r="110" spans="1:13" x14ac:dyDescent="0.3">
      <c r="A110" s="41"/>
      <c r="B110" s="42" t="s">
        <v>30</v>
      </c>
      <c r="C110" s="87"/>
      <c r="D110" s="330"/>
      <c r="E110" s="319"/>
      <c r="F110" s="320"/>
      <c r="G110" s="321"/>
      <c r="H110" s="323"/>
      <c r="I110" s="88"/>
      <c r="J110" s="89"/>
      <c r="K110" s="46">
        <f t="shared" si="6"/>
        <v>0</v>
      </c>
      <c r="L110" s="83"/>
      <c r="M110" s="84"/>
    </row>
    <row r="111" spans="1:13" x14ac:dyDescent="0.3">
      <c r="A111" s="41"/>
      <c r="B111" s="42" t="s">
        <v>30</v>
      </c>
      <c r="C111" s="87"/>
      <c r="D111" s="330"/>
      <c r="E111" s="319"/>
      <c r="F111" s="320"/>
      <c r="G111" s="321"/>
      <c r="H111" s="323"/>
      <c r="I111" s="88"/>
      <c r="J111" s="89"/>
      <c r="K111" s="46">
        <f t="shared" si="6"/>
        <v>0</v>
      </c>
      <c r="L111" s="83"/>
      <c r="M111" s="84"/>
    </row>
    <row r="112" spans="1:13" x14ac:dyDescent="0.3">
      <c r="A112" s="41"/>
      <c r="B112" s="42" t="s">
        <v>30</v>
      </c>
      <c r="C112" s="87"/>
      <c r="D112" s="330"/>
      <c r="E112" s="319"/>
      <c r="F112" s="320"/>
      <c r="G112" s="321"/>
      <c r="H112" s="323"/>
      <c r="I112" s="88"/>
      <c r="J112" s="89"/>
      <c r="K112" s="46">
        <f t="shared" si="6"/>
        <v>0</v>
      </c>
      <c r="L112" s="83"/>
      <c r="M112" s="85"/>
    </row>
    <row r="113" spans="1:13" x14ac:dyDescent="0.3">
      <c r="A113" s="41"/>
      <c r="B113" s="42" t="s">
        <v>30</v>
      </c>
      <c r="C113" s="87"/>
      <c r="D113" s="330"/>
      <c r="E113" s="319"/>
      <c r="F113" s="320"/>
      <c r="G113" s="321"/>
      <c r="H113" s="323"/>
      <c r="I113" s="88"/>
      <c r="J113" s="89"/>
      <c r="K113" s="46">
        <f t="shared" si="6"/>
        <v>0</v>
      </c>
      <c r="L113" s="83"/>
      <c r="M113" s="85"/>
    </row>
    <row r="114" spans="1:13" x14ac:dyDescent="0.3">
      <c r="A114" s="41"/>
      <c r="B114" s="42" t="s">
        <v>30</v>
      </c>
      <c r="C114" s="87"/>
      <c r="D114" s="330"/>
      <c r="E114" s="319"/>
      <c r="F114" s="320"/>
      <c r="G114" s="321"/>
      <c r="H114" s="323"/>
      <c r="I114" s="88"/>
      <c r="J114" s="89"/>
      <c r="K114" s="46">
        <f t="shared" si="6"/>
        <v>0</v>
      </c>
      <c r="L114" s="83"/>
      <c r="M114" s="85"/>
    </row>
    <row r="115" spans="1:13" x14ac:dyDescent="0.3">
      <c r="A115" s="52"/>
      <c r="B115" s="42" t="s">
        <v>30</v>
      </c>
      <c r="C115" s="87"/>
      <c r="D115" s="330"/>
      <c r="E115" s="319"/>
      <c r="F115" s="320"/>
      <c r="G115" s="321"/>
      <c r="H115" s="323"/>
      <c r="I115" s="88"/>
      <c r="J115" s="89"/>
      <c r="K115" s="46">
        <f t="shared" ref="K115:K123" si="7">I115+J115</f>
        <v>0</v>
      </c>
      <c r="L115" s="83"/>
      <c r="M115" s="85"/>
    </row>
    <row r="116" spans="1:13" x14ac:dyDescent="0.3">
      <c r="A116" s="41"/>
      <c r="B116" s="42" t="s">
        <v>30</v>
      </c>
      <c r="C116" s="87"/>
      <c r="D116" s="330"/>
      <c r="E116" s="319"/>
      <c r="F116" s="320"/>
      <c r="G116" s="321"/>
      <c r="H116" s="323"/>
      <c r="I116" s="88"/>
      <c r="J116" s="89"/>
      <c r="K116" s="46">
        <f t="shared" si="7"/>
        <v>0</v>
      </c>
      <c r="L116" s="83"/>
      <c r="M116" s="84"/>
    </row>
    <row r="117" spans="1:13" x14ac:dyDescent="0.3">
      <c r="A117" s="41"/>
      <c r="B117" s="42" t="s">
        <v>30</v>
      </c>
      <c r="C117" s="87"/>
      <c r="D117" s="330"/>
      <c r="E117" s="319"/>
      <c r="F117" s="320"/>
      <c r="G117" s="321"/>
      <c r="H117" s="323"/>
      <c r="I117" s="88"/>
      <c r="J117" s="89"/>
      <c r="K117" s="46">
        <f t="shared" si="7"/>
        <v>0</v>
      </c>
      <c r="L117" s="83"/>
      <c r="M117" s="84"/>
    </row>
    <row r="118" spans="1:13" x14ac:dyDescent="0.3">
      <c r="A118" s="41"/>
      <c r="B118" s="42" t="s">
        <v>30</v>
      </c>
      <c r="C118" s="87"/>
      <c r="D118" s="330"/>
      <c r="E118" s="319"/>
      <c r="F118" s="320"/>
      <c r="G118" s="321"/>
      <c r="H118" s="323"/>
      <c r="I118" s="88"/>
      <c r="J118" s="89"/>
      <c r="K118" s="46">
        <f t="shared" si="7"/>
        <v>0</v>
      </c>
      <c r="L118" s="83"/>
      <c r="M118" s="85"/>
    </row>
    <row r="119" spans="1:13" x14ac:dyDescent="0.3">
      <c r="A119" s="41"/>
      <c r="B119" s="42" t="s">
        <v>30</v>
      </c>
      <c r="C119" s="87"/>
      <c r="D119" s="330"/>
      <c r="E119" s="319"/>
      <c r="F119" s="320"/>
      <c r="G119" s="321"/>
      <c r="H119" s="323"/>
      <c r="I119" s="88"/>
      <c r="J119" s="89"/>
      <c r="K119" s="46">
        <f t="shared" si="7"/>
        <v>0</v>
      </c>
      <c r="L119" s="83"/>
      <c r="M119" s="85"/>
    </row>
    <row r="120" spans="1:13" x14ac:dyDescent="0.3">
      <c r="A120" s="41"/>
      <c r="B120" s="42" t="s">
        <v>30</v>
      </c>
      <c r="C120" s="87"/>
      <c r="D120" s="330"/>
      <c r="E120" s="319"/>
      <c r="F120" s="320"/>
      <c r="G120" s="321"/>
      <c r="H120" s="323"/>
      <c r="I120" s="88"/>
      <c r="J120" s="89"/>
      <c r="K120" s="46">
        <f t="shared" si="7"/>
        <v>0</v>
      </c>
      <c r="L120" s="83"/>
      <c r="M120" s="85"/>
    </row>
    <row r="121" spans="1:13" x14ac:dyDescent="0.3">
      <c r="A121" s="41"/>
      <c r="B121" s="42" t="s">
        <v>30</v>
      </c>
      <c r="C121" s="87"/>
      <c r="D121" s="330"/>
      <c r="E121" s="319"/>
      <c r="F121" s="320"/>
      <c r="G121" s="321"/>
      <c r="H121" s="323"/>
      <c r="I121" s="88"/>
      <c r="J121" s="89"/>
      <c r="K121" s="46">
        <f t="shared" si="7"/>
        <v>0</v>
      </c>
      <c r="L121" s="83"/>
      <c r="M121" s="85"/>
    </row>
    <row r="122" spans="1:13" x14ac:dyDescent="0.3">
      <c r="A122" s="41"/>
      <c r="B122" s="42" t="s">
        <v>30</v>
      </c>
      <c r="C122" s="87"/>
      <c r="D122" s="330"/>
      <c r="E122" s="319"/>
      <c r="F122" s="320"/>
      <c r="G122" s="321"/>
      <c r="H122" s="323"/>
      <c r="I122" s="88"/>
      <c r="J122" s="89"/>
      <c r="K122" s="46">
        <f t="shared" si="7"/>
        <v>0</v>
      </c>
      <c r="L122" s="83"/>
      <c r="M122" s="85"/>
    </row>
    <row r="123" spans="1:13" x14ac:dyDescent="0.3">
      <c r="A123" s="41"/>
      <c r="B123" s="42" t="s">
        <v>30</v>
      </c>
      <c r="C123" s="87"/>
      <c r="D123" s="330"/>
      <c r="E123" s="319"/>
      <c r="F123" s="320"/>
      <c r="G123" s="321"/>
      <c r="H123" s="323"/>
      <c r="I123" s="88"/>
      <c r="J123" s="89"/>
      <c r="K123" s="46">
        <f t="shared" si="7"/>
        <v>0</v>
      </c>
      <c r="L123" s="83"/>
      <c r="M123" s="85"/>
    </row>
    <row r="124" spans="1:13" x14ac:dyDescent="0.3">
      <c r="A124" s="52"/>
      <c r="B124" s="42" t="s">
        <v>30</v>
      </c>
      <c r="C124" s="87"/>
      <c r="D124" s="330"/>
      <c r="E124" s="319"/>
      <c r="F124" s="320"/>
      <c r="G124" s="321"/>
      <c r="H124" s="323"/>
      <c r="I124" s="88"/>
      <c r="J124" s="89"/>
      <c r="K124" s="46">
        <f t="shared" ref="K124:K129" si="8">I124+J124</f>
        <v>0</v>
      </c>
      <c r="L124" s="83"/>
      <c r="M124" s="85"/>
    </row>
    <row r="125" spans="1:13" x14ac:dyDescent="0.3">
      <c r="A125" s="41"/>
      <c r="B125" s="42" t="s">
        <v>30</v>
      </c>
      <c r="C125" s="87"/>
      <c r="D125" s="330"/>
      <c r="E125" s="319"/>
      <c r="F125" s="320"/>
      <c r="G125" s="321"/>
      <c r="H125" s="323"/>
      <c r="I125" s="88"/>
      <c r="J125" s="89"/>
      <c r="K125" s="46">
        <f t="shared" si="8"/>
        <v>0</v>
      </c>
      <c r="L125" s="83"/>
      <c r="M125" s="84"/>
    </row>
    <row r="126" spans="1:13" x14ac:dyDescent="0.3">
      <c r="A126" s="41"/>
      <c r="B126" s="42" t="s">
        <v>30</v>
      </c>
      <c r="C126" s="87"/>
      <c r="D126" s="330"/>
      <c r="E126" s="319"/>
      <c r="F126" s="320"/>
      <c r="G126" s="321"/>
      <c r="H126" s="323"/>
      <c r="I126" s="88"/>
      <c r="J126" s="89"/>
      <c r="K126" s="46">
        <f t="shared" si="8"/>
        <v>0</v>
      </c>
      <c r="L126" s="83"/>
      <c r="M126" s="84"/>
    </row>
    <row r="127" spans="1:13" x14ac:dyDescent="0.3">
      <c r="A127" s="41"/>
      <c r="B127" s="42" t="s">
        <v>30</v>
      </c>
      <c r="C127" s="87"/>
      <c r="D127" s="330"/>
      <c r="E127" s="319"/>
      <c r="F127" s="320"/>
      <c r="G127" s="321"/>
      <c r="H127" s="323"/>
      <c r="I127" s="88"/>
      <c r="J127" s="89"/>
      <c r="K127" s="46">
        <f t="shared" si="8"/>
        <v>0</v>
      </c>
      <c r="L127" s="83"/>
      <c r="M127" s="85"/>
    </row>
    <row r="128" spans="1:13" x14ac:dyDescent="0.3">
      <c r="A128" s="41"/>
      <c r="B128" s="42" t="s">
        <v>30</v>
      </c>
      <c r="C128" s="87"/>
      <c r="D128" s="330"/>
      <c r="E128" s="319"/>
      <c r="F128" s="320"/>
      <c r="G128" s="321"/>
      <c r="H128" s="323"/>
      <c r="I128" s="88"/>
      <c r="J128" s="89"/>
      <c r="K128" s="46">
        <f t="shared" si="8"/>
        <v>0</v>
      </c>
      <c r="L128" s="83"/>
      <c r="M128" s="85"/>
    </row>
    <row r="129" spans="1:15" x14ac:dyDescent="0.3">
      <c r="A129" s="41"/>
      <c r="B129" s="42" t="s">
        <v>30</v>
      </c>
      <c r="C129" s="87"/>
      <c r="D129" s="330"/>
      <c r="E129" s="319"/>
      <c r="F129" s="320"/>
      <c r="G129" s="321"/>
      <c r="H129" s="323"/>
      <c r="I129" s="88"/>
      <c r="J129" s="89"/>
      <c r="K129" s="46">
        <f t="shared" si="8"/>
        <v>0</v>
      </c>
      <c r="L129" s="83"/>
      <c r="M129" s="85"/>
    </row>
    <row r="130" spans="1:15" x14ac:dyDescent="0.3">
      <c r="A130" s="56"/>
      <c r="B130" s="56"/>
      <c r="C130" s="56"/>
      <c r="D130" s="56"/>
      <c r="E130" s="56"/>
      <c r="F130" s="56"/>
      <c r="G130" s="57" t="s">
        <v>192</v>
      </c>
      <c r="H130" s="56"/>
      <c r="I130" s="58">
        <f>SUMIF($L97:$L129,"YES",$I97:$I129)</f>
        <v>0</v>
      </c>
      <c r="J130" s="58">
        <f>SUMIF($L97:$L129,"YES",$J97:$J129)</f>
        <v>0</v>
      </c>
      <c r="K130" s="58">
        <f>SUMIF($L97:$L129,"YES",$K97:$K129)</f>
        <v>359697366</v>
      </c>
      <c r="L130" s="56"/>
      <c r="M130" s="56"/>
    </row>
    <row r="131" spans="1:15" x14ac:dyDescent="0.3">
      <c r="A131" s="79"/>
      <c r="B131" s="79"/>
      <c r="C131" s="79"/>
      <c r="D131" s="79"/>
      <c r="E131" s="79"/>
      <c r="F131" s="79"/>
      <c r="G131" s="79"/>
      <c r="H131" s="79"/>
      <c r="I131" s="79"/>
      <c r="J131" s="79"/>
      <c r="K131" s="79"/>
      <c r="L131" s="79"/>
      <c r="M131" s="79"/>
    </row>
    <row r="132" spans="1:15" x14ac:dyDescent="0.3">
      <c r="A132" s="79"/>
      <c r="B132" s="79"/>
      <c r="C132" s="79"/>
      <c r="D132" s="79"/>
      <c r="E132" s="79"/>
      <c r="F132" s="79"/>
      <c r="G132" s="79"/>
      <c r="H132" s="79"/>
      <c r="I132" s="79"/>
      <c r="J132" s="79"/>
      <c r="K132" s="79"/>
      <c r="L132" s="79"/>
      <c r="M132" s="79"/>
    </row>
    <row r="133" spans="1:15" ht="18" x14ac:dyDescent="0.35">
      <c r="A133" s="303" t="s">
        <v>270</v>
      </c>
      <c r="B133" s="304"/>
      <c r="C133" s="304"/>
      <c r="D133" s="304"/>
      <c r="E133" s="304"/>
      <c r="F133" s="304"/>
      <c r="G133" s="304"/>
      <c r="H133" s="304"/>
      <c r="I133" s="304"/>
      <c r="J133" s="304"/>
      <c r="K133" s="304"/>
      <c r="L133" s="304"/>
      <c r="M133" s="305"/>
    </row>
    <row r="134" spans="1:15" ht="36.6" customHeight="1" x14ac:dyDescent="0.3">
      <c r="A134" s="60"/>
      <c r="B134" s="61" t="s">
        <v>21</v>
      </c>
      <c r="C134" s="61" t="s">
        <v>177</v>
      </c>
      <c r="D134" s="306" t="s">
        <v>23</v>
      </c>
      <c r="E134" s="306"/>
      <c r="F134" s="306"/>
      <c r="G134" s="306" t="s">
        <v>194</v>
      </c>
      <c r="H134" s="306"/>
      <c r="I134" s="62" t="s">
        <v>235</v>
      </c>
      <c r="J134" s="62"/>
      <c r="K134" s="62" t="s">
        <v>236</v>
      </c>
      <c r="L134" s="93" t="s">
        <v>178</v>
      </c>
      <c r="M134" s="63" t="s">
        <v>179</v>
      </c>
    </row>
    <row r="135" spans="1:15" ht="25.2" customHeight="1" x14ac:dyDescent="0.3">
      <c r="A135" s="41"/>
      <c r="B135" s="42" t="s">
        <v>30</v>
      </c>
      <c r="C135" s="59" t="s">
        <v>186</v>
      </c>
      <c r="D135" s="298" t="s">
        <v>238</v>
      </c>
      <c r="E135" s="299"/>
      <c r="F135" s="300"/>
      <c r="G135" s="301" t="s">
        <v>233</v>
      </c>
      <c r="H135" s="302"/>
      <c r="I135" s="64"/>
      <c r="J135" s="46"/>
      <c r="K135" s="46">
        <v>70827804</v>
      </c>
      <c r="L135" s="83" t="s">
        <v>182</v>
      </c>
      <c r="M135" s="84"/>
    </row>
    <row r="136" spans="1:15" x14ac:dyDescent="0.3">
      <c r="A136" s="41"/>
      <c r="B136" s="42" t="s">
        <v>30</v>
      </c>
      <c r="C136" s="59" t="s">
        <v>186</v>
      </c>
      <c r="D136" s="298" t="s">
        <v>238</v>
      </c>
      <c r="E136" s="299"/>
      <c r="F136" s="300"/>
      <c r="G136" s="301" t="s">
        <v>252</v>
      </c>
      <c r="H136" s="302"/>
      <c r="I136" s="65">
        <f>ROUNDUP((((K130-K151-110000)*100)/'Tax Rates'!$H$3),6)</f>
        <v>0.10642700000000001</v>
      </c>
      <c r="J136" s="47"/>
      <c r="K136" s="46">
        <f>(ROUNDUP((('Tax Rates'!$H$3/100)*I136)*0.9885,0))+(ROUNDUP((('Tax Rates'!$H$3/100)*I136)*0.0115,0))+110000</f>
        <v>288871210</v>
      </c>
      <c r="L136" s="83" t="s">
        <v>182</v>
      </c>
      <c r="M136" s="90" t="str">
        <f>IF(I136&gt;I176,"Your tax rate REQUIRES an election.","")</f>
        <v/>
      </c>
    </row>
    <row r="137" spans="1:15" x14ac:dyDescent="0.3">
      <c r="A137" s="296" t="s">
        <v>249</v>
      </c>
      <c r="B137" s="296"/>
      <c r="C137" s="296"/>
      <c r="D137" s="296"/>
      <c r="E137" s="296"/>
      <c r="F137" s="296"/>
      <c r="G137" s="296"/>
      <c r="H137" s="296"/>
      <c r="I137" s="296"/>
      <c r="J137" s="296"/>
      <c r="K137" s="66">
        <f>SUMIF($L135:$L136,"YES",$K135:$K136)</f>
        <v>359699014</v>
      </c>
      <c r="L137" s="67"/>
      <c r="M137" s="67"/>
    </row>
    <row r="138" spans="1:15" ht="15" thickBot="1" x14ac:dyDescent="0.35">
      <c r="A138" s="297" t="s">
        <v>192</v>
      </c>
      <c r="B138" s="297"/>
      <c r="C138" s="297"/>
      <c r="D138" s="297"/>
      <c r="E138" s="297"/>
      <c r="F138" s="297"/>
      <c r="G138" s="297"/>
      <c r="H138" s="297"/>
      <c r="I138" s="297"/>
      <c r="J138" s="297"/>
      <c r="K138" s="68">
        <f>K130</f>
        <v>359697366</v>
      </c>
      <c r="L138" s="56"/>
      <c r="M138" s="56"/>
    </row>
    <row r="139" spans="1:15" s="32" customFormat="1" ht="15" thickBot="1" x14ac:dyDescent="0.35">
      <c r="A139" s="307" t="str">
        <f>IF(K139&lt;0,"YOUR BUDGET EXCEEDS THE AVAILABLE REVENUE.",(IF(K139=0,"CONGRATULATIONS! YOU BALANCED YOUR BUDGET.","YOUR REVENUES EXCEED EXPENDITURES.  YOU CAN ADD MORE TO THE BUDGET.")))</f>
        <v>YOUR REVENUES EXCEED EXPENDITURES.  YOU CAN ADD MORE TO THE BUDGET.</v>
      </c>
      <c r="B139" s="308"/>
      <c r="C139" s="308"/>
      <c r="D139" s="308"/>
      <c r="E139" s="308"/>
      <c r="F139" s="308"/>
      <c r="G139" s="308"/>
      <c r="H139" s="308"/>
      <c r="I139" s="308"/>
      <c r="J139" s="308"/>
      <c r="K139" s="69">
        <f>K137-K138</f>
        <v>1648</v>
      </c>
      <c r="L139" s="70"/>
      <c r="M139" s="71"/>
      <c r="O139" s="33"/>
    </row>
    <row r="140" spans="1:15" x14ac:dyDescent="0.3">
      <c r="A140" s="79"/>
      <c r="B140" s="79"/>
      <c r="C140" s="79"/>
      <c r="D140" s="79"/>
      <c r="E140" s="79"/>
      <c r="F140" s="79"/>
      <c r="G140" s="79"/>
      <c r="H140" s="79"/>
      <c r="I140" s="79"/>
      <c r="J140" s="79"/>
      <c r="K140" s="79"/>
      <c r="L140" s="79"/>
      <c r="M140" s="79"/>
    </row>
    <row r="141" spans="1:15" ht="18" x14ac:dyDescent="0.35">
      <c r="A141" s="309" t="s">
        <v>257</v>
      </c>
      <c r="B141" s="310"/>
      <c r="C141" s="310"/>
      <c r="D141" s="310"/>
      <c r="E141" s="310"/>
      <c r="F141" s="310"/>
      <c r="G141" s="310"/>
      <c r="H141" s="310"/>
      <c r="I141" s="310"/>
      <c r="J141" s="310"/>
      <c r="K141" s="310"/>
      <c r="L141" s="310"/>
      <c r="M141" s="311"/>
    </row>
    <row r="142" spans="1:15" ht="31.8" x14ac:dyDescent="0.3">
      <c r="A142" s="34" t="s">
        <v>181</v>
      </c>
      <c r="B142" s="35" t="s">
        <v>21</v>
      </c>
      <c r="C142" s="35" t="s">
        <v>177</v>
      </c>
      <c r="D142" s="35" t="s">
        <v>22</v>
      </c>
      <c r="E142" s="36" t="s">
        <v>23</v>
      </c>
      <c r="F142" s="37" t="s">
        <v>180</v>
      </c>
      <c r="G142" s="36" t="s">
        <v>24</v>
      </c>
      <c r="H142" s="38" t="s">
        <v>26</v>
      </c>
      <c r="I142" s="39"/>
      <c r="J142" s="39"/>
      <c r="K142" s="39" t="s">
        <v>185</v>
      </c>
      <c r="L142" s="93" t="s">
        <v>178</v>
      </c>
      <c r="M142" s="40" t="s">
        <v>179</v>
      </c>
    </row>
    <row r="143" spans="1:15" ht="34.200000000000003" customHeight="1" x14ac:dyDescent="0.3">
      <c r="A143" s="41"/>
      <c r="B143" s="42" t="s">
        <v>30</v>
      </c>
      <c r="C143" s="91" t="s">
        <v>256</v>
      </c>
      <c r="D143" s="318" t="s">
        <v>253</v>
      </c>
      <c r="E143" s="319"/>
      <c r="F143" s="320"/>
      <c r="G143" s="301" t="s">
        <v>258</v>
      </c>
      <c r="H143" s="312"/>
      <c r="I143" s="312"/>
      <c r="J143" s="302"/>
      <c r="K143" s="46">
        <f>K137-K138</f>
        <v>1648</v>
      </c>
      <c r="L143" s="83" t="s">
        <v>182</v>
      </c>
      <c r="M143" s="85"/>
    </row>
    <row r="144" spans="1:15" x14ac:dyDescent="0.3">
      <c r="A144" s="41"/>
      <c r="B144" s="92"/>
      <c r="C144" s="91"/>
      <c r="D144" s="318"/>
      <c r="E144" s="319"/>
      <c r="F144" s="320"/>
      <c r="G144" s="321"/>
      <c r="H144" s="322"/>
      <c r="I144" s="322"/>
      <c r="J144" s="323"/>
      <c r="K144" s="88"/>
      <c r="L144" s="83"/>
      <c r="M144" s="85"/>
    </row>
    <row r="145" spans="1:15" x14ac:dyDescent="0.3">
      <c r="A145" s="296" t="s">
        <v>249</v>
      </c>
      <c r="B145" s="296"/>
      <c r="C145" s="296"/>
      <c r="D145" s="296"/>
      <c r="E145" s="296"/>
      <c r="F145" s="296"/>
      <c r="G145" s="296"/>
      <c r="H145" s="296"/>
      <c r="I145" s="296"/>
      <c r="J145" s="296"/>
      <c r="K145" s="66">
        <f>K137</f>
        <v>359699014</v>
      </c>
      <c r="L145" s="67"/>
      <c r="M145" s="67"/>
    </row>
    <row r="146" spans="1:15" ht="15" thickBot="1" x14ac:dyDescent="0.35">
      <c r="A146" s="297" t="s">
        <v>255</v>
      </c>
      <c r="B146" s="297"/>
      <c r="C146" s="297"/>
      <c r="D146" s="297"/>
      <c r="E146" s="297"/>
      <c r="F146" s="297"/>
      <c r="G146" s="297"/>
      <c r="H146" s="297"/>
      <c r="I146" s="297"/>
      <c r="J146" s="297"/>
      <c r="K146" s="68">
        <f>K138+K139</f>
        <v>359699014</v>
      </c>
      <c r="L146" s="56"/>
      <c r="M146" s="56"/>
    </row>
    <row r="147" spans="1:15" s="32" customFormat="1" ht="15" thickBot="1" x14ac:dyDescent="0.35">
      <c r="A147" s="307" t="str">
        <f>IF(K147&lt;0,"YOUR BUDGET EXCEEDS THE AVAILABLE REVENUE.",(IF(K147=0,"CONGRATULATIONS! YOU BALANCED YOUR BUDGET.","YOUR REVENUES EXCEED EXPENDITURES.  YOU CAN ADD MORE TO THE BUDGET.")))</f>
        <v>CONGRATULATIONS! YOU BALANCED YOUR BUDGET.</v>
      </c>
      <c r="B147" s="308"/>
      <c r="C147" s="308"/>
      <c r="D147" s="308"/>
      <c r="E147" s="308"/>
      <c r="F147" s="308"/>
      <c r="G147" s="308"/>
      <c r="H147" s="308"/>
      <c r="I147" s="308"/>
      <c r="J147" s="308"/>
      <c r="K147" s="69">
        <f>K145-K146</f>
        <v>0</v>
      </c>
      <c r="L147" s="70"/>
      <c r="M147" s="71"/>
      <c r="O147" s="33"/>
    </row>
    <row r="148" spans="1:15" x14ac:dyDescent="0.3">
      <c r="A148" s="79"/>
      <c r="B148" s="79"/>
      <c r="C148" s="79"/>
      <c r="D148" s="79"/>
      <c r="E148" s="79"/>
      <c r="F148" s="79"/>
      <c r="G148" s="79"/>
      <c r="H148" s="79"/>
      <c r="I148" s="79"/>
      <c r="J148" s="79"/>
      <c r="K148" s="79"/>
      <c r="L148" s="79"/>
      <c r="M148" s="79"/>
    </row>
    <row r="149" spans="1:15" ht="18" x14ac:dyDescent="0.35">
      <c r="A149" s="303" t="s">
        <v>246</v>
      </c>
      <c r="B149" s="304"/>
      <c r="C149" s="304"/>
      <c r="D149" s="304"/>
      <c r="E149" s="304"/>
      <c r="F149" s="304"/>
      <c r="G149" s="304"/>
      <c r="H149" s="304"/>
      <c r="I149" s="304"/>
      <c r="J149" s="304"/>
      <c r="K149" s="304"/>
      <c r="L149" s="304"/>
      <c r="M149" s="305"/>
    </row>
    <row r="150" spans="1:15" ht="36.6" customHeight="1" x14ac:dyDescent="0.3">
      <c r="A150" s="60"/>
      <c r="B150" s="61" t="s">
        <v>21</v>
      </c>
      <c r="C150" s="61" t="s">
        <v>177</v>
      </c>
      <c r="D150" s="306" t="s">
        <v>23</v>
      </c>
      <c r="E150" s="306"/>
      <c r="F150" s="306"/>
      <c r="G150" s="306" t="s">
        <v>194</v>
      </c>
      <c r="H150" s="306"/>
      <c r="I150" s="62" t="s">
        <v>235</v>
      </c>
      <c r="J150" s="62"/>
      <c r="K150" s="62" t="s">
        <v>236</v>
      </c>
      <c r="L150" s="93" t="s">
        <v>178</v>
      </c>
      <c r="M150" s="63" t="s">
        <v>179</v>
      </c>
    </row>
    <row r="151" spans="1:15" ht="25.2" customHeight="1" x14ac:dyDescent="0.3">
      <c r="A151" s="41"/>
      <c r="B151" s="42" t="s">
        <v>30</v>
      </c>
      <c r="C151" s="59" t="s">
        <v>186</v>
      </c>
      <c r="D151" s="298" t="s">
        <v>238</v>
      </c>
      <c r="E151" s="299"/>
      <c r="F151" s="300"/>
      <c r="G151" s="301" t="s">
        <v>233</v>
      </c>
      <c r="H151" s="302"/>
      <c r="I151" s="64"/>
      <c r="J151" s="46"/>
      <c r="K151" s="46">
        <v>70827804</v>
      </c>
      <c r="L151" s="83" t="s">
        <v>182</v>
      </c>
      <c r="M151" s="84"/>
    </row>
    <row r="152" spans="1:15" x14ac:dyDescent="0.3">
      <c r="A152" s="41"/>
      <c r="B152" s="42" t="s">
        <v>30</v>
      </c>
      <c r="C152" s="59" t="s">
        <v>186</v>
      </c>
      <c r="D152" s="298" t="s">
        <v>238</v>
      </c>
      <c r="E152" s="299"/>
      <c r="F152" s="300"/>
      <c r="G152" s="301" t="s">
        <v>234</v>
      </c>
      <c r="H152" s="302"/>
      <c r="I152" s="65">
        <f>'Tax Rates'!B16</f>
        <v>0.105156</v>
      </c>
      <c r="J152" s="47"/>
      <c r="K152" s="46">
        <f>(ROUNDUP((('Tax Rates'!$H$3/100)*I152)*0.9885,0))+(ROUNDUP((('Tax Rates'!$H$3/100)*I152)*0.0115,0))+110000</f>
        <v>285422692</v>
      </c>
      <c r="L152" s="83" t="s">
        <v>182</v>
      </c>
      <c r="M152" s="84"/>
    </row>
    <row r="153" spans="1:15" x14ac:dyDescent="0.3">
      <c r="A153" s="296" t="s">
        <v>247</v>
      </c>
      <c r="B153" s="296"/>
      <c r="C153" s="296"/>
      <c r="D153" s="296"/>
      <c r="E153" s="296"/>
      <c r="F153" s="296"/>
      <c r="G153" s="296"/>
      <c r="H153" s="296"/>
      <c r="I153" s="296"/>
      <c r="J153" s="296"/>
      <c r="K153" s="66">
        <f>SUMIF($L151:$L152,"YES",$K151:$K152)</f>
        <v>356250496</v>
      </c>
      <c r="L153" s="67"/>
      <c r="M153" s="67"/>
    </row>
    <row r="154" spans="1:15" ht="15" thickBot="1" x14ac:dyDescent="0.35">
      <c r="A154" s="297" t="s">
        <v>192</v>
      </c>
      <c r="B154" s="297"/>
      <c r="C154" s="297"/>
      <c r="D154" s="297"/>
      <c r="E154" s="297"/>
      <c r="F154" s="297"/>
      <c r="G154" s="297"/>
      <c r="H154" s="297"/>
      <c r="I154" s="297"/>
      <c r="J154" s="297"/>
      <c r="K154" s="68">
        <f>K130</f>
        <v>359697366</v>
      </c>
      <c r="L154" s="56"/>
      <c r="M154" s="56"/>
    </row>
    <row r="155" spans="1:15" s="32" customFormat="1" ht="15" thickBot="1" x14ac:dyDescent="0.35">
      <c r="A155" s="307" t="str">
        <f>IF(K155&lt;0,"YOUR BUDGET EXCEEDS THE AVAILABLE REVENUE.",(IF(K155=0,"CONGRATULATIONS! YOU BALANCED YOUR BUDGET.","YOUR REVENUES EXCEED EXPENDITURES.  YOU CAN ADD MORE TO THE BUDGET.")))</f>
        <v>YOUR BUDGET EXCEEDS THE AVAILABLE REVENUE.</v>
      </c>
      <c r="B155" s="308"/>
      <c r="C155" s="308"/>
      <c r="D155" s="308"/>
      <c r="E155" s="308"/>
      <c r="F155" s="308"/>
      <c r="G155" s="308"/>
      <c r="H155" s="308"/>
      <c r="I155" s="308"/>
      <c r="J155" s="308"/>
      <c r="K155" s="69">
        <f>K153-K154</f>
        <v>-3446870</v>
      </c>
      <c r="L155" s="70"/>
      <c r="M155" s="71"/>
      <c r="O155" s="33"/>
    </row>
    <row r="156" spans="1:15" s="32" customFormat="1" x14ac:dyDescent="0.3">
      <c r="A156" s="80"/>
      <c r="B156" s="80"/>
      <c r="C156" s="80"/>
      <c r="D156" s="80"/>
      <c r="E156" s="80"/>
      <c r="F156" s="80"/>
      <c r="G156" s="81"/>
      <c r="H156" s="80"/>
      <c r="I156" s="82"/>
      <c r="J156" s="82"/>
      <c r="K156" s="82"/>
      <c r="L156" s="80"/>
      <c r="M156" s="80"/>
      <c r="O156" s="33"/>
    </row>
    <row r="157" spans="1:15" ht="18" x14ac:dyDescent="0.35">
      <c r="A157" s="303" t="s">
        <v>248</v>
      </c>
      <c r="B157" s="304"/>
      <c r="C157" s="304"/>
      <c r="D157" s="304"/>
      <c r="E157" s="304"/>
      <c r="F157" s="304"/>
      <c r="G157" s="304"/>
      <c r="H157" s="304"/>
      <c r="I157" s="304"/>
      <c r="J157" s="304"/>
      <c r="K157" s="304"/>
      <c r="L157" s="304"/>
      <c r="M157" s="305"/>
    </row>
    <row r="158" spans="1:15" ht="36.6" customHeight="1" x14ac:dyDescent="0.3">
      <c r="A158" s="60"/>
      <c r="B158" s="61" t="s">
        <v>21</v>
      </c>
      <c r="C158" s="61" t="s">
        <v>177</v>
      </c>
      <c r="D158" s="306" t="s">
        <v>23</v>
      </c>
      <c r="E158" s="306"/>
      <c r="F158" s="306"/>
      <c r="G158" s="306" t="s">
        <v>194</v>
      </c>
      <c r="H158" s="306"/>
      <c r="I158" s="62" t="s">
        <v>235</v>
      </c>
      <c r="J158" s="62"/>
      <c r="K158" s="62" t="s">
        <v>236</v>
      </c>
      <c r="L158" s="93" t="s">
        <v>178</v>
      </c>
      <c r="M158" s="63" t="s">
        <v>179</v>
      </c>
    </row>
    <row r="159" spans="1:15" ht="25.2" customHeight="1" x14ac:dyDescent="0.3">
      <c r="A159" s="41"/>
      <c r="B159" s="42" t="s">
        <v>30</v>
      </c>
      <c r="C159" s="59" t="s">
        <v>186</v>
      </c>
      <c r="D159" s="298" t="s">
        <v>238</v>
      </c>
      <c r="E159" s="299"/>
      <c r="F159" s="300"/>
      <c r="G159" s="301" t="s">
        <v>233</v>
      </c>
      <c r="H159" s="302"/>
      <c r="I159" s="64"/>
      <c r="J159" s="46"/>
      <c r="K159" s="46">
        <v>70827804</v>
      </c>
      <c r="L159" s="83" t="s">
        <v>182</v>
      </c>
      <c r="M159" s="84"/>
    </row>
    <row r="160" spans="1:15" x14ac:dyDescent="0.3">
      <c r="A160" s="41"/>
      <c r="B160" s="42" t="s">
        <v>30</v>
      </c>
      <c r="C160" s="59" t="s">
        <v>186</v>
      </c>
      <c r="D160" s="298" t="s">
        <v>238</v>
      </c>
      <c r="E160" s="299"/>
      <c r="F160" s="300"/>
      <c r="G160" s="301" t="s">
        <v>243</v>
      </c>
      <c r="H160" s="302"/>
      <c r="I160" s="65">
        <f>'Tax Rates'!B17</f>
        <v>0.10669300000000001</v>
      </c>
      <c r="J160" s="47"/>
      <c r="K160" s="46">
        <f>(ROUNDUP((('Tax Rates'!$H$3/100)*I160)*0.9885,0))+(ROUNDUP((('Tax Rates'!$H$3/100)*I160)*0.0115,0))+110000</f>
        <v>289592931</v>
      </c>
      <c r="L160" s="83" t="s">
        <v>182</v>
      </c>
      <c r="M160" s="84"/>
    </row>
    <row r="161" spans="1:15" x14ac:dyDescent="0.3">
      <c r="A161" s="296" t="s">
        <v>249</v>
      </c>
      <c r="B161" s="296"/>
      <c r="C161" s="296"/>
      <c r="D161" s="296"/>
      <c r="E161" s="296"/>
      <c r="F161" s="296"/>
      <c r="G161" s="296"/>
      <c r="H161" s="296"/>
      <c r="I161" s="296"/>
      <c r="J161" s="296"/>
      <c r="K161" s="66">
        <f>SUMIF($L159:$L160,"YES",$K159:$K160)</f>
        <v>360420735</v>
      </c>
      <c r="L161" s="67"/>
      <c r="M161" s="67"/>
    </row>
    <row r="162" spans="1:15" ht="15" thickBot="1" x14ac:dyDescent="0.35">
      <c r="A162" s="297" t="s">
        <v>192</v>
      </c>
      <c r="B162" s="297"/>
      <c r="C162" s="297"/>
      <c r="D162" s="297"/>
      <c r="E162" s="297"/>
      <c r="F162" s="297"/>
      <c r="G162" s="297"/>
      <c r="H162" s="297"/>
      <c r="I162" s="297"/>
      <c r="J162" s="297"/>
      <c r="K162" s="68">
        <f>K130</f>
        <v>359697366</v>
      </c>
      <c r="L162" s="56"/>
      <c r="M162" s="56"/>
    </row>
    <row r="163" spans="1:15" s="32" customFormat="1" ht="15" thickBot="1" x14ac:dyDescent="0.35">
      <c r="A163" s="307" t="str">
        <f>IF(K163&lt;0,"YOUR BUDGET EXCEEDS THE AVAILABLE REVENUE.",(IF(K163=0,"CONGRATULATIONS! YOU BALANCED YOUR BUDGET.","YOUR REVENUES EXCEED EXPENDITURES.  YOU CAN ADD MORE TO THE BUDGET.")))</f>
        <v>YOUR REVENUES EXCEED EXPENDITURES.  YOU CAN ADD MORE TO THE BUDGET.</v>
      </c>
      <c r="B163" s="308"/>
      <c r="C163" s="308"/>
      <c r="D163" s="308"/>
      <c r="E163" s="308"/>
      <c r="F163" s="308"/>
      <c r="G163" s="308"/>
      <c r="H163" s="308"/>
      <c r="I163" s="308"/>
      <c r="J163" s="308"/>
      <c r="K163" s="69">
        <f>K161-K162</f>
        <v>723369</v>
      </c>
      <c r="L163" s="70"/>
      <c r="M163" s="71"/>
      <c r="O163" s="33"/>
    </row>
    <row r="164" spans="1:15" s="32" customFormat="1" x14ac:dyDescent="0.3">
      <c r="A164" s="80"/>
      <c r="B164" s="80"/>
      <c r="C164" s="80"/>
      <c r="D164" s="80"/>
      <c r="E164" s="80"/>
      <c r="F164" s="80"/>
      <c r="G164" s="81"/>
      <c r="H164" s="80"/>
      <c r="I164" s="82"/>
      <c r="J164" s="82"/>
      <c r="K164" s="82"/>
      <c r="L164" s="80"/>
      <c r="M164" s="80"/>
      <c r="O164" s="33"/>
    </row>
    <row r="165" spans="1:15" ht="18" x14ac:dyDescent="0.35">
      <c r="A165" s="303" t="s">
        <v>250</v>
      </c>
      <c r="B165" s="304"/>
      <c r="C165" s="304"/>
      <c r="D165" s="304"/>
      <c r="E165" s="304"/>
      <c r="F165" s="304"/>
      <c r="G165" s="304"/>
      <c r="H165" s="304"/>
      <c r="I165" s="304"/>
      <c r="J165" s="304"/>
      <c r="K165" s="304"/>
      <c r="L165" s="304"/>
      <c r="M165" s="305"/>
    </row>
    <row r="166" spans="1:15" ht="36.6" customHeight="1" x14ac:dyDescent="0.3">
      <c r="A166" s="60"/>
      <c r="B166" s="61" t="s">
        <v>21</v>
      </c>
      <c r="C166" s="61" t="s">
        <v>177</v>
      </c>
      <c r="D166" s="306" t="s">
        <v>23</v>
      </c>
      <c r="E166" s="306"/>
      <c r="F166" s="306"/>
      <c r="G166" s="306" t="s">
        <v>194</v>
      </c>
      <c r="H166" s="306"/>
      <c r="I166" s="62" t="s">
        <v>235</v>
      </c>
      <c r="J166" s="62"/>
      <c r="K166" s="62" t="s">
        <v>236</v>
      </c>
      <c r="L166" s="93" t="s">
        <v>178</v>
      </c>
      <c r="M166" s="63" t="s">
        <v>179</v>
      </c>
    </row>
    <row r="167" spans="1:15" ht="25.2" customHeight="1" x14ac:dyDescent="0.3">
      <c r="A167" s="41"/>
      <c r="B167" s="42" t="s">
        <v>30</v>
      </c>
      <c r="C167" s="59" t="s">
        <v>186</v>
      </c>
      <c r="D167" s="298" t="s">
        <v>238</v>
      </c>
      <c r="E167" s="299"/>
      <c r="F167" s="300"/>
      <c r="G167" s="301" t="s">
        <v>233</v>
      </c>
      <c r="H167" s="302"/>
      <c r="I167" s="64"/>
      <c r="J167" s="46"/>
      <c r="K167" s="46">
        <v>70827804</v>
      </c>
      <c r="L167" s="83" t="s">
        <v>182</v>
      </c>
      <c r="M167" s="84"/>
    </row>
    <row r="168" spans="1:15" x14ac:dyDescent="0.3">
      <c r="A168" s="41"/>
      <c r="B168" s="42" t="s">
        <v>30</v>
      </c>
      <c r="C168" s="59" t="s">
        <v>186</v>
      </c>
      <c r="D168" s="298" t="s">
        <v>238</v>
      </c>
      <c r="E168" s="299"/>
      <c r="F168" s="300"/>
      <c r="G168" s="301" t="s">
        <v>244</v>
      </c>
      <c r="H168" s="302"/>
      <c r="I168" s="65">
        <f>'Tax Rates'!B18</f>
        <v>0.11017200000000002</v>
      </c>
      <c r="J168" s="47"/>
      <c r="K168" s="46">
        <f>(ROUNDUP((('Tax Rates'!$H$3/100)*I168)*0.9885,0))+(ROUNDUP((('Tax Rates'!$H$3/100)*I168)*0.0115,0))+110000</f>
        <v>299032268</v>
      </c>
      <c r="L168" s="83" t="s">
        <v>182</v>
      </c>
      <c r="M168" s="84"/>
    </row>
    <row r="169" spans="1:15" x14ac:dyDescent="0.3">
      <c r="A169" s="296" t="s">
        <v>249</v>
      </c>
      <c r="B169" s="296"/>
      <c r="C169" s="296"/>
      <c r="D169" s="296"/>
      <c r="E169" s="296"/>
      <c r="F169" s="296"/>
      <c r="G169" s="296"/>
      <c r="H169" s="296"/>
      <c r="I169" s="296"/>
      <c r="J169" s="296"/>
      <c r="K169" s="66">
        <f>SUMIF($L167:$L168,"YES",$K167:$K168)</f>
        <v>369860072</v>
      </c>
      <c r="L169" s="67"/>
      <c r="M169" s="67"/>
    </row>
    <row r="170" spans="1:15" ht="15" thickBot="1" x14ac:dyDescent="0.35">
      <c r="A170" s="297" t="s">
        <v>192</v>
      </c>
      <c r="B170" s="297"/>
      <c r="C170" s="297"/>
      <c r="D170" s="297"/>
      <c r="E170" s="297"/>
      <c r="F170" s="297"/>
      <c r="G170" s="297"/>
      <c r="H170" s="297"/>
      <c r="I170" s="297"/>
      <c r="J170" s="297"/>
      <c r="K170" s="68">
        <f>K130</f>
        <v>359697366</v>
      </c>
      <c r="L170" s="56"/>
      <c r="M170" s="56"/>
    </row>
    <row r="171" spans="1:15" s="32" customFormat="1" ht="15" thickBot="1" x14ac:dyDescent="0.35">
      <c r="A171" s="307" t="str">
        <f>IF(K171&lt;0,"YOUR BUDGET EXCEEDS THE AVAILABLE REVENUE.",(IF(K171=0,"CONGRATULATIONS! YOU BALANCED YOUR BUDGET.","YOUR REVENUES EXCEED EXPENDITURES.  YOU CAN ADD MORE TO THE BUDGET.")))</f>
        <v>YOUR REVENUES EXCEED EXPENDITURES.  YOU CAN ADD MORE TO THE BUDGET.</v>
      </c>
      <c r="B171" s="308"/>
      <c r="C171" s="308"/>
      <c r="D171" s="308"/>
      <c r="E171" s="308"/>
      <c r="F171" s="308"/>
      <c r="G171" s="308"/>
      <c r="H171" s="308"/>
      <c r="I171" s="308"/>
      <c r="J171" s="308"/>
      <c r="K171" s="69">
        <f>K169-K170</f>
        <v>10162706</v>
      </c>
      <c r="L171" s="70"/>
      <c r="M171" s="71"/>
      <c r="O171" s="33"/>
    </row>
    <row r="172" spans="1:15" s="32" customFormat="1" x14ac:dyDescent="0.3">
      <c r="A172" s="80"/>
      <c r="B172" s="80"/>
      <c r="C172" s="80"/>
      <c r="D172" s="80"/>
      <c r="E172" s="80"/>
      <c r="F172" s="80"/>
      <c r="G172" s="81"/>
      <c r="H172" s="80"/>
      <c r="I172" s="82"/>
      <c r="J172" s="82"/>
      <c r="K172" s="82"/>
      <c r="L172" s="80"/>
      <c r="M172" s="80"/>
      <c r="O172" s="33"/>
    </row>
    <row r="173" spans="1:15" ht="18" x14ac:dyDescent="0.35">
      <c r="A173" s="303" t="s">
        <v>251</v>
      </c>
      <c r="B173" s="304"/>
      <c r="C173" s="304"/>
      <c r="D173" s="304"/>
      <c r="E173" s="304"/>
      <c r="F173" s="304"/>
      <c r="G173" s="304"/>
      <c r="H173" s="304"/>
      <c r="I173" s="304"/>
      <c r="J173" s="304"/>
      <c r="K173" s="304"/>
      <c r="L173" s="304"/>
      <c r="M173" s="305"/>
    </row>
    <row r="174" spans="1:15" ht="36.6" customHeight="1" x14ac:dyDescent="0.3">
      <c r="A174" s="60"/>
      <c r="B174" s="61" t="s">
        <v>21</v>
      </c>
      <c r="C174" s="61" t="s">
        <v>177</v>
      </c>
      <c r="D174" s="306" t="s">
        <v>23</v>
      </c>
      <c r="E174" s="306"/>
      <c r="F174" s="306"/>
      <c r="G174" s="306" t="s">
        <v>194</v>
      </c>
      <c r="H174" s="306"/>
      <c r="I174" s="62" t="s">
        <v>235</v>
      </c>
      <c r="J174" s="62"/>
      <c r="K174" s="62" t="s">
        <v>236</v>
      </c>
      <c r="L174" s="93" t="s">
        <v>178</v>
      </c>
      <c r="M174" s="63" t="s">
        <v>179</v>
      </c>
    </row>
    <row r="175" spans="1:15" ht="25.2" customHeight="1" x14ac:dyDescent="0.3">
      <c r="A175" s="41"/>
      <c r="B175" s="42" t="s">
        <v>30</v>
      </c>
      <c r="C175" s="59" t="s">
        <v>186</v>
      </c>
      <c r="D175" s="298" t="s">
        <v>238</v>
      </c>
      <c r="E175" s="299"/>
      <c r="F175" s="300"/>
      <c r="G175" s="301" t="s">
        <v>233</v>
      </c>
      <c r="H175" s="302"/>
      <c r="I175" s="64"/>
      <c r="J175" s="46"/>
      <c r="K175" s="46">
        <v>70827804</v>
      </c>
      <c r="L175" s="83" t="s">
        <v>182</v>
      </c>
      <c r="M175" s="84"/>
    </row>
    <row r="176" spans="1:15" x14ac:dyDescent="0.3">
      <c r="A176" s="41"/>
      <c r="B176" s="42" t="s">
        <v>30</v>
      </c>
      <c r="C176" s="59" t="s">
        <v>186</v>
      </c>
      <c r="D176" s="298" t="s">
        <v>238</v>
      </c>
      <c r="E176" s="299"/>
      <c r="F176" s="300"/>
      <c r="G176" s="301" t="s">
        <v>245</v>
      </c>
      <c r="H176" s="302"/>
      <c r="I176" s="65">
        <f>'Tax Rates'!B19</f>
        <v>0.11378400000000002</v>
      </c>
      <c r="J176" s="47"/>
      <c r="K176" s="46">
        <f>(ROUNDUP((('Tax Rates'!$H$3/100)*I176)*0.9885,0))+(ROUNDUP((('Tax Rates'!$H$3/100)*I176)*0.0115,0))+110000</f>
        <v>308832464</v>
      </c>
      <c r="L176" s="83" t="s">
        <v>182</v>
      </c>
      <c r="M176" s="84"/>
    </row>
    <row r="177" spans="1:15" x14ac:dyDescent="0.3">
      <c r="A177" s="296" t="s">
        <v>249</v>
      </c>
      <c r="B177" s="296"/>
      <c r="C177" s="296"/>
      <c r="D177" s="296"/>
      <c r="E177" s="296"/>
      <c r="F177" s="296"/>
      <c r="G177" s="296"/>
      <c r="H177" s="296"/>
      <c r="I177" s="296"/>
      <c r="J177" s="296"/>
      <c r="K177" s="66">
        <f>SUMIF($L175:$L176,"YES",$K175:$K176)</f>
        <v>379660268</v>
      </c>
      <c r="L177" s="67"/>
      <c r="M177" s="67"/>
    </row>
    <row r="178" spans="1:15" ht="15" thickBot="1" x14ac:dyDescent="0.35">
      <c r="A178" s="297" t="s">
        <v>192</v>
      </c>
      <c r="B178" s="297"/>
      <c r="C178" s="297"/>
      <c r="D178" s="297"/>
      <c r="E178" s="297"/>
      <c r="F178" s="297"/>
      <c r="G178" s="297"/>
      <c r="H178" s="297"/>
      <c r="I178" s="297"/>
      <c r="J178" s="297"/>
      <c r="K178" s="68">
        <f>K130</f>
        <v>359697366</v>
      </c>
      <c r="L178" s="56"/>
      <c r="M178" s="56"/>
    </row>
    <row r="179" spans="1:15" s="32" customFormat="1" ht="15" thickBot="1" x14ac:dyDescent="0.35">
      <c r="A179" s="307" t="str">
        <f>IF(K179&lt;0,"YOUR BUDGET EXCEEDS THE AVAILABLE REVENUE.",(IF(K179=0,"CONGRATULATIONS! YOU BALANCED YOUR BUDGET.","YOUR REVENUES EXCEED EXPENDITURES.  YOU CAN ADD MORE TO THE BUDGET.")))</f>
        <v>YOUR REVENUES EXCEED EXPENDITURES.  YOU CAN ADD MORE TO THE BUDGET.</v>
      </c>
      <c r="B179" s="308"/>
      <c r="C179" s="308"/>
      <c r="D179" s="308"/>
      <c r="E179" s="308"/>
      <c r="F179" s="308"/>
      <c r="G179" s="308"/>
      <c r="H179" s="308"/>
      <c r="I179" s="308"/>
      <c r="J179" s="308"/>
      <c r="K179" s="69">
        <f>K177-K178</f>
        <v>19962902</v>
      </c>
      <c r="L179" s="70"/>
      <c r="M179" s="71"/>
      <c r="O179" s="33"/>
    </row>
    <row r="180" spans="1:15" s="32" customFormat="1" x14ac:dyDescent="0.3">
      <c r="A180" s="80"/>
      <c r="B180" s="80"/>
      <c r="C180" s="80"/>
      <c r="D180" s="80"/>
      <c r="E180" s="80"/>
      <c r="F180" s="80"/>
      <c r="G180" s="81"/>
      <c r="H180" s="80"/>
      <c r="I180" s="82"/>
      <c r="J180" s="82"/>
      <c r="K180" s="82"/>
      <c r="L180" s="80"/>
      <c r="M180" s="80"/>
      <c r="O180" s="33"/>
    </row>
    <row r="181" spans="1:15" x14ac:dyDescent="0.3">
      <c r="A181" s="79"/>
      <c r="B181" s="79"/>
      <c r="C181" s="79"/>
      <c r="D181" s="79"/>
      <c r="E181" s="79"/>
      <c r="F181" s="79"/>
      <c r="G181" s="79"/>
      <c r="H181" s="79"/>
      <c r="I181" s="79"/>
      <c r="J181" s="79"/>
      <c r="K181" s="79"/>
      <c r="L181" s="79"/>
      <c r="M181" s="79"/>
    </row>
    <row r="182" spans="1:15" x14ac:dyDescent="0.3">
      <c r="A182" s="79"/>
      <c r="B182" s="79"/>
      <c r="C182" s="79"/>
      <c r="D182" s="79"/>
      <c r="E182" s="79"/>
      <c r="F182" s="79"/>
      <c r="G182" s="79"/>
      <c r="H182" s="79"/>
      <c r="I182" s="79"/>
      <c r="J182" s="79"/>
      <c r="K182" s="96"/>
      <c r="L182" s="79"/>
      <c r="M182" s="79"/>
    </row>
    <row r="183" spans="1:15" x14ac:dyDescent="0.3">
      <c r="A183" s="79"/>
      <c r="B183" s="79"/>
      <c r="C183" s="79"/>
      <c r="D183" s="79"/>
      <c r="E183" s="79"/>
      <c r="F183" s="79"/>
      <c r="G183" s="79"/>
      <c r="H183" s="79"/>
      <c r="I183" s="79"/>
      <c r="J183" s="79"/>
      <c r="K183" s="79"/>
      <c r="L183" s="79"/>
      <c r="M183" s="79"/>
    </row>
    <row r="184" spans="1:15" x14ac:dyDescent="0.3">
      <c r="A184" s="79"/>
      <c r="B184" s="79"/>
      <c r="C184" s="79"/>
      <c r="D184" s="79"/>
      <c r="E184" s="79"/>
      <c r="F184" s="79"/>
      <c r="G184" s="79"/>
      <c r="H184" s="79"/>
      <c r="I184" s="79"/>
      <c r="J184" s="79"/>
      <c r="K184" s="79"/>
      <c r="L184" s="79"/>
      <c r="M184" s="79"/>
    </row>
    <row r="185" spans="1:15" x14ac:dyDescent="0.3">
      <c r="A185" s="79"/>
      <c r="B185" s="79"/>
      <c r="C185" s="79"/>
      <c r="D185" s="79"/>
      <c r="E185" s="79"/>
      <c r="F185" s="79"/>
      <c r="G185" s="79"/>
      <c r="H185" s="79"/>
      <c r="I185" s="79"/>
      <c r="J185" s="79"/>
      <c r="K185" s="79"/>
      <c r="L185" s="79"/>
      <c r="M185" s="79"/>
    </row>
    <row r="186" spans="1:15" x14ac:dyDescent="0.3">
      <c r="A186" s="79"/>
      <c r="B186" s="79"/>
      <c r="C186" s="79"/>
      <c r="D186" s="79"/>
      <c r="E186" s="79"/>
      <c r="F186" s="79"/>
      <c r="G186" s="79"/>
      <c r="H186" s="79"/>
      <c r="I186" s="79"/>
      <c r="J186" s="79"/>
      <c r="K186" s="79"/>
      <c r="L186" s="79"/>
      <c r="M186" s="79"/>
    </row>
    <row r="187" spans="1:15" x14ac:dyDescent="0.3">
      <c r="A187" s="79"/>
      <c r="B187" s="79"/>
      <c r="C187" s="79"/>
      <c r="D187" s="79"/>
      <c r="E187" s="79"/>
      <c r="F187" s="79"/>
      <c r="G187" s="79"/>
      <c r="H187" s="79"/>
      <c r="I187" s="79"/>
      <c r="J187" s="79"/>
      <c r="K187" s="79"/>
      <c r="L187" s="79"/>
      <c r="M187" s="79"/>
    </row>
    <row r="188" spans="1:15" x14ac:dyDescent="0.3">
      <c r="A188" s="79"/>
      <c r="B188" s="79"/>
      <c r="C188" s="79"/>
      <c r="D188" s="79"/>
      <c r="E188" s="79"/>
      <c r="F188" s="79"/>
      <c r="G188" s="79"/>
      <c r="H188" s="79"/>
      <c r="I188" s="79"/>
      <c r="J188" s="79"/>
      <c r="K188" s="79"/>
      <c r="L188" s="79"/>
      <c r="M188" s="79"/>
    </row>
    <row r="189" spans="1:15" x14ac:dyDescent="0.3">
      <c r="A189" s="79"/>
      <c r="B189" s="79"/>
      <c r="C189" s="79"/>
      <c r="D189" s="79"/>
      <c r="E189" s="79"/>
      <c r="F189" s="79"/>
      <c r="G189" s="79"/>
      <c r="H189" s="79"/>
      <c r="I189" s="79"/>
      <c r="J189" s="79"/>
      <c r="K189" s="79"/>
      <c r="L189" s="79"/>
      <c r="M189" s="79"/>
    </row>
    <row r="190" spans="1:15" x14ac:dyDescent="0.3">
      <c r="A190" s="79"/>
      <c r="B190" s="79"/>
      <c r="C190" s="79"/>
      <c r="D190" s="79"/>
      <c r="E190" s="79"/>
      <c r="F190" s="79"/>
      <c r="G190" s="79"/>
      <c r="H190" s="79"/>
      <c r="I190" s="79"/>
      <c r="J190" s="79"/>
      <c r="K190" s="79"/>
      <c r="L190" s="79"/>
      <c r="M190" s="79"/>
    </row>
    <row r="191" spans="1:15" x14ac:dyDescent="0.3">
      <c r="A191" s="79"/>
      <c r="B191" s="79"/>
      <c r="C191" s="79"/>
      <c r="D191" s="79"/>
      <c r="E191" s="79"/>
      <c r="F191" s="79"/>
      <c r="G191" s="79"/>
      <c r="H191" s="79"/>
      <c r="I191" s="79"/>
      <c r="J191" s="79"/>
      <c r="K191" s="79"/>
      <c r="L191" s="79"/>
      <c r="M191" s="79"/>
    </row>
    <row r="192" spans="1:15" x14ac:dyDescent="0.3">
      <c r="A192" s="79"/>
      <c r="B192" s="79"/>
      <c r="C192" s="79"/>
      <c r="D192" s="79"/>
      <c r="E192" s="79"/>
      <c r="F192" s="79"/>
      <c r="G192" s="79"/>
      <c r="H192" s="79"/>
      <c r="I192" s="79"/>
      <c r="J192" s="79"/>
      <c r="K192" s="79"/>
      <c r="L192" s="79"/>
      <c r="M192" s="79"/>
    </row>
    <row r="193" spans="1:13" x14ac:dyDescent="0.3">
      <c r="A193" s="79"/>
      <c r="B193" s="79"/>
      <c r="C193" s="79"/>
      <c r="D193" s="79"/>
      <c r="E193" s="79"/>
      <c r="F193" s="79"/>
      <c r="G193" s="79"/>
      <c r="H193" s="79"/>
      <c r="I193" s="79"/>
      <c r="J193" s="79"/>
      <c r="K193" s="79"/>
      <c r="L193" s="79"/>
      <c r="M193" s="79"/>
    </row>
    <row r="194" spans="1:13" x14ac:dyDescent="0.3">
      <c r="A194" s="79"/>
      <c r="B194" s="79"/>
      <c r="C194" s="79"/>
      <c r="D194" s="79"/>
      <c r="E194" s="79"/>
      <c r="F194" s="79"/>
      <c r="G194" s="79"/>
      <c r="H194" s="79"/>
      <c r="I194" s="79"/>
      <c r="J194" s="79"/>
      <c r="K194" s="79"/>
      <c r="L194" s="79"/>
      <c r="M194" s="79"/>
    </row>
    <row r="195" spans="1:13" x14ac:dyDescent="0.3">
      <c r="A195" s="79"/>
      <c r="B195" s="79"/>
      <c r="C195" s="79"/>
      <c r="D195" s="79"/>
      <c r="E195" s="79"/>
      <c r="F195" s="79"/>
      <c r="G195" s="79"/>
      <c r="H195" s="79"/>
      <c r="I195" s="79"/>
      <c r="J195" s="79"/>
      <c r="K195" s="79"/>
      <c r="L195" s="79"/>
      <c r="M195" s="79"/>
    </row>
    <row r="196" spans="1:13" x14ac:dyDescent="0.3">
      <c r="A196" s="79"/>
      <c r="B196" s="79"/>
      <c r="C196" s="79"/>
      <c r="D196" s="79"/>
      <c r="E196" s="79"/>
      <c r="F196" s="79"/>
      <c r="G196" s="79"/>
      <c r="H196" s="79"/>
      <c r="I196" s="79"/>
      <c r="J196" s="79"/>
      <c r="K196" s="79"/>
      <c r="L196" s="79"/>
      <c r="M196" s="79"/>
    </row>
    <row r="197" spans="1:13" x14ac:dyDescent="0.3">
      <c r="A197" s="79"/>
      <c r="B197" s="79"/>
      <c r="C197" s="79"/>
      <c r="D197" s="79"/>
      <c r="E197" s="79"/>
      <c r="F197" s="79"/>
      <c r="G197" s="79"/>
      <c r="H197" s="79"/>
      <c r="I197" s="79"/>
      <c r="J197" s="79"/>
      <c r="K197" s="79"/>
      <c r="L197" s="79"/>
      <c r="M197" s="79"/>
    </row>
    <row r="198" spans="1:13" x14ac:dyDescent="0.3">
      <c r="A198" s="79"/>
      <c r="B198" s="79"/>
      <c r="C198" s="79"/>
      <c r="D198" s="79"/>
      <c r="E198" s="79"/>
      <c r="F198" s="79"/>
      <c r="G198" s="79"/>
      <c r="H198" s="79"/>
      <c r="I198" s="79"/>
      <c r="J198" s="79"/>
      <c r="K198" s="79"/>
      <c r="L198" s="79"/>
      <c r="M198" s="79"/>
    </row>
  </sheetData>
  <mergeCells count="142">
    <mergeCell ref="G128:H128"/>
    <mergeCell ref="G129:H129"/>
    <mergeCell ref="G87:H87"/>
    <mergeCell ref="G96:H96"/>
    <mergeCell ref="G121:H121"/>
    <mergeCell ref="G122:H122"/>
    <mergeCell ref="G123:H123"/>
    <mergeCell ref="G124:H124"/>
    <mergeCell ref="G125:H125"/>
    <mergeCell ref="G126:H126"/>
    <mergeCell ref="G115:H115"/>
    <mergeCell ref="G116:H116"/>
    <mergeCell ref="G117:H117"/>
    <mergeCell ref="G118:H118"/>
    <mergeCell ref="D128:F128"/>
    <mergeCell ref="D129:F129"/>
    <mergeCell ref="G92:H92"/>
    <mergeCell ref="G97:H97"/>
    <mergeCell ref="G98:H98"/>
    <mergeCell ref="G99:H99"/>
    <mergeCell ref="G100:H100"/>
    <mergeCell ref="G101:H101"/>
    <mergeCell ref="G102:H102"/>
    <mergeCell ref="D121:F121"/>
    <mergeCell ref="D122:F122"/>
    <mergeCell ref="D123:F123"/>
    <mergeCell ref="D124:F124"/>
    <mergeCell ref="D125:F125"/>
    <mergeCell ref="G103:H103"/>
    <mergeCell ref="G104:H104"/>
    <mergeCell ref="G105:H105"/>
    <mergeCell ref="G106:H106"/>
    <mergeCell ref="G107:H107"/>
    <mergeCell ref="G119:H119"/>
    <mergeCell ref="G120:H120"/>
    <mergeCell ref="G109:H109"/>
    <mergeCell ref="G110:H110"/>
    <mergeCell ref="G111:H111"/>
    <mergeCell ref="D126:F126"/>
    <mergeCell ref="D115:F115"/>
    <mergeCell ref="D116:F116"/>
    <mergeCell ref="D117:F117"/>
    <mergeCell ref="D118:F118"/>
    <mergeCell ref="D119:F119"/>
    <mergeCell ref="D120:F120"/>
    <mergeCell ref="G108:H108"/>
    <mergeCell ref="D127:F127"/>
    <mergeCell ref="G112:H112"/>
    <mergeCell ref="G113:H113"/>
    <mergeCell ref="G114:H114"/>
    <mergeCell ref="G127:H127"/>
    <mergeCell ref="D114:F114"/>
    <mergeCell ref="D112:F112"/>
    <mergeCell ref="D113:F113"/>
    <mergeCell ref="D103:F103"/>
    <mergeCell ref="D104:F104"/>
    <mergeCell ref="D105:F105"/>
    <mergeCell ref="D106:F106"/>
    <mergeCell ref="D107:F107"/>
    <mergeCell ref="D108:F108"/>
    <mergeCell ref="D109:F109"/>
    <mergeCell ref="D110:F110"/>
    <mergeCell ref="D111:F111"/>
    <mergeCell ref="A3:M3"/>
    <mergeCell ref="A1:M1"/>
    <mergeCell ref="A86:M86"/>
    <mergeCell ref="A95:M95"/>
    <mergeCell ref="D88:F88"/>
    <mergeCell ref="D89:F89"/>
    <mergeCell ref="D90:F90"/>
    <mergeCell ref="A71:M71"/>
    <mergeCell ref="D102:F102"/>
    <mergeCell ref="D91:F91"/>
    <mergeCell ref="D92:F92"/>
    <mergeCell ref="G88:H88"/>
    <mergeCell ref="G89:H89"/>
    <mergeCell ref="G90:H90"/>
    <mergeCell ref="G91:H91"/>
    <mergeCell ref="D97:F97"/>
    <mergeCell ref="D98:F98"/>
    <mergeCell ref="D99:F99"/>
    <mergeCell ref="D100:F100"/>
    <mergeCell ref="D101:F101"/>
    <mergeCell ref="D96:F96"/>
    <mergeCell ref="D176:F176"/>
    <mergeCell ref="G176:H176"/>
    <mergeCell ref="A177:J177"/>
    <mergeCell ref="A178:J178"/>
    <mergeCell ref="A179:J179"/>
    <mergeCell ref="A141:M141"/>
    <mergeCell ref="D158:F158"/>
    <mergeCell ref="G158:H158"/>
    <mergeCell ref="D159:F159"/>
    <mergeCell ref="G159:H159"/>
    <mergeCell ref="D160:F160"/>
    <mergeCell ref="G160:H160"/>
    <mergeCell ref="D152:F152"/>
    <mergeCell ref="G152:H152"/>
    <mergeCell ref="A149:M149"/>
    <mergeCell ref="D151:F151"/>
    <mergeCell ref="G151:H151"/>
    <mergeCell ref="D150:F150"/>
    <mergeCell ref="G150:H150"/>
    <mergeCell ref="D175:F175"/>
    <mergeCell ref="D174:F174"/>
    <mergeCell ref="G174:H174"/>
    <mergeCell ref="G175:H175"/>
    <mergeCell ref="D167:F167"/>
    <mergeCell ref="D135:F135"/>
    <mergeCell ref="G135:H135"/>
    <mergeCell ref="D136:F136"/>
    <mergeCell ref="G136:H136"/>
    <mergeCell ref="A137:J137"/>
    <mergeCell ref="A133:M133"/>
    <mergeCell ref="D134:F134"/>
    <mergeCell ref="G134:H134"/>
    <mergeCell ref="A173:M173"/>
    <mergeCell ref="D168:F168"/>
    <mergeCell ref="G168:H168"/>
    <mergeCell ref="A169:J169"/>
    <mergeCell ref="A170:J170"/>
    <mergeCell ref="A171:J171"/>
    <mergeCell ref="D144:F144"/>
    <mergeCell ref="A138:J138"/>
    <mergeCell ref="A139:J139"/>
    <mergeCell ref="A161:J161"/>
    <mergeCell ref="A162:J162"/>
    <mergeCell ref="A155:J155"/>
    <mergeCell ref="A163:J163"/>
    <mergeCell ref="A165:M165"/>
    <mergeCell ref="D166:F166"/>
    <mergeCell ref="G166:H166"/>
    <mergeCell ref="G167:H167"/>
    <mergeCell ref="D143:F143"/>
    <mergeCell ref="A146:J146"/>
    <mergeCell ref="A145:J145"/>
    <mergeCell ref="A147:J147"/>
    <mergeCell ref="G143:J143"/>
    <mergeCell ref="G144:J144"/>
    <mergeCell ref="A153:J153"/>
    <mergeCell ref="A154:J154"/>
    <mergeCell ref="A157:M157"/>
  </mergeCells>
  <dataValidations count="1">
    <dataValidation type="list" allowBlank="1" showInputMessage="1" showErrorMessage="1" promptTitle="Add to Recommended Budget?" prompt="Enter &quot;Yes&quot; to add to Recommended Budget. " sqref="L5:L68 L73:L83 L88:L92 L97:L129 L135:L136 L143:L144 L151:L152 L159:L160 L167:L168 L175:L176" xr:uid="{E3141264-1FC0-4BF9-81F3-E1092687770A}">
      <formula1>$O$1:$O$2</formula1>
    </dataValidation>
  </dataValidations>
  <printOptions horizontalCentered="1"/>
  <pageMargins left="0.25" right="0.25" top="0.75" bottom="0.75" header="0.3" footer="0.3"/>
  <pageSetup scale="59" fitToHeight="0" orientation="landscape" r:id="rId1"/>
  <headerFooter>
    <oddHeader>&amp;C&amp;14COLLIN COUNTY - FY 2027 GENERAL FUND BUILD-YOUR-OWN-BUDGET</oddHeader>
    <oddFooter>&amp;CPage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D6E83-6751-4DD2-B914-196F2D4E5CF3}">
  <sheetPr>
    <tabColor theme="6" tint="0.39997558519241921"/>
    <pageSetUpPr fitToPage="1"/>
  </sheetPr>
  <dimension ref="A1:O82"/>
  <sheetViews>
    <sheetView zoomScaleNormal="100" workbookViewId="0">
      <pane ySplit="2" topLeftCell="A3" activePane="bottomLeft" state="frozen"/>
      <selection pane="bottomLeft" activeCell="M5" sqref="M5"/>
    </sheetView>
  </sheetViews>
  <sheetFormatPr defaultColWidth="8.88671875" defaultRowHeight="14.4" x14ac:dyDescent="0.3"/>
  <cols>
    <col min="1" max="1" width="6" style="30" bestFit="1" customWidth="1"/>
    <col min="2" max="2" width="5" style="30" bestFit="1" customWidth="1"/>
    <col min="3" max="3" width="10.6640625" style="30" bestFit="1" customWidth="1"/>
    <col min="4" max="4" width="6.6640625" style="30" bestFit="1" customWidth="1"/>
    <col min="5" max="5" width="53.44140625" style="30" bestFit="1" customWidth="1"/>
    <col min="6" max="6" width="7.33203125" style="30" bestFit="1" customWidth="1"/>
    <col min="7" max="7" width="48" style="30" bestFit="1" customWidth="1"/>
    <col min="8" max="8" width="10.5546875" style="30" customWidth="1"/>
    <col min="9" max="9" width="13.5546875" style="30" bestFit="1" customWidth="1"/>
    <col min="10" max="10" width="11.5546875" style="30" bestFit="1" customWidth="1"/>
    <col min="11" max="11" width="13.5546875" style="30" bestFit="1" customWidth="1"/>
    <col min="12" max="12" width="9.109375" style="30" bestFit="1" customWidth="1"/>
    <col min="13" max="13" width="31.6640625" style="30" customWidth="1"/>
    <col min="14" max="14" width="8.88671875" style="30"/>
    <col min="15" max="15" width="8.88671875" style="31"/>
    <col min="16" max="16384" width="8.88671875" style="30"/>
  </cols>
  <sheetData>
    <row r="1" spans="1:15" ht="18" x14ac:dyDescent="0.35">
      <c r="A1" s="324" t="s">
        <v>283</v>
      </c>
      <c r="B1" s="325"/>
      <c r="C1" s="325"/>
      <c r="D1" s="325"/>
      <c r="E1" s="325"/>
      <c r="F1" s="325"/>
      <c r="G1" s="325"/>
      <c r="H1" s="325"/>
      <c r="I1" s="325"/>
      <c r="J1" s="325"/>
      <c r="K1" s="325"/>
      <c r="L1" s="325"/>
      <c r="M1" s="326"/>
    </row>
    <row r="2" spans="1:15" s="32" customFormat="1" ht="6" customHeight="1" x14ac:dyDescent="0.3">
      <c r="A2" s="74"/>
      <c r="B2" s="74"/>
      <c r="C2" s="74"/>
      <c r="D2" s="74"/>
      <c r="E2" s="75"/>
      <c r="F2" s="76"/>
      <c r="G2" s="75"/>
      <c r="H2" s="77"/>
      <c r="I2" s="78"/>
      <c r="J2" s="78"/>
      <c r="K2" s="78"/>
      <c r="L2" s="78"/>
      <c r="M2" s="78"/>
      <c r="O2" s="33"/>
    </row>
    <row r="3" spans="1:15" ht="18" x14ac:dyDescent="0.35">
      <c r="A3" s="313" t="s">
        <v>271</v>
      </c>
      <c r="B3" s="314"/>
      <c r="C3" s="314"/>
      <c r="D3" s="314"/>
      <c r="E3" s="314"/>
      <c r="F3" s="314"/>
      <c r="G3" s="314"/>
      <c r="H3" s="314"/>
      <c r="I3" s="314"/>
      <c r="J3" s="314"/>
      <c r="K3" s="314"/>
      <c r="L3" s="314"/>
      <c r="M3" s="315"/>
    </row>
    <row r="4" spans="1:15" ht="31.8" x14ac:dyDescent="0.3">
      <c r="A4" s="34" t="s">
        <v>181</v>
      </c>
      <c r="B4" s="35" t="s">
        <v>21</v>
      </c>
      <c r="C4" s="35" t="s">
        <v>177</v>
      </c>
      <c r="D4" s="35" t="s">
        <v>22</v>
      </c>
      <c r="E4" s="36" t="s">
        <v>23</v>
      </c>
      <c r="F4" s="37" t="s">
        <v>180</v>
      </c>
      <c r="G4" s="36" t="s">
        <v>24</v>
      </c>
      <c r="H4" s="38" t="s">
        <v>26</v>
      </c>
      <c r="I4" s="39" t="s">
        <v>27</v>
      </c>
      <c r="J4" s="39" t="s">
        <v>28</v>
      </c>
      <c r="K4" s="39" t="s">
        <v>29</v>
      </c>
      <c r="L4" s="93" t="s">
        <v>178</v>
      </c>
      <c r="M4" s="40" t="s">
        <v>179</v>
      </c>
    </row>
    <row r="5" spans="1:15" x14ac:dyDescent="0.3">
      <c r="A5" s="41">
        <v>19</v>
      </c>
      <c r="B5" s="42" t="s">
        <v>92</v>
      </c>
      <c r="C5" s="43" t="s">
        <v>93</v>
      </c>
      <c r="D5" s="43">
        <v>3</v>
      </c>
      <c r="E5" s="44" t="s">
        <v>94</v>
      </c>
      <c r="F5" s="43">
        <v>2</v>
      </c>
      <c r="G5" s="44" t="s">
        <v>95</v>
      </c>
      <c r="H5" s="45" t="s">
        <v>34</v>
      </c>
      <c r="I5" s="46">
        <v>8616</v>
      </c>
      <c r="J5" s="47">
        <v>80425</v>
      </c>
      <c r="K5" s="46">
        <f t="shared" ref="K5:K8" si="0">I5+J5</f>
        <v>89041</v>
      </c>
      <c r="L5" s="83"/>
      <c r="M5" s="84"/>
      <c r="O5" s="31" t="s">
        <v>490</v>
      </c>
    </row>
    <row r="6" spans="1:15" x14ac:dyDescent="0.3">
      <c r="A6" s="41">
        <v>21</v>
      </c>
      <c r="B6" s="42" t="s">
        <v>92</v>
      </c>
      <c r="C6" s="43" t="s">
        <v>93</v>
      </c>
      <c r="D6" s="43">
        <v>3</v>
      </c>
      <c r="E6" s="44" t="s">
        <v>94</v>
      </c>
      <c r="F6" s="43">
        <v>9</v>
      </c>
      <c r="G6" s="48" t="s">
        <v>119</v>
      </c>
      <c r="H6" s="45" t="s">
        <v>34</v>
      </c>
      <c r="I6" s="46">
        <v>0</v>
      </c>
      <c r="J6" s="47">
        <v>10000</v>
      </c>
      <c r="K6" s="46">
        <f t="shared" si="0"/>
        <v>10000</v>
      </c>
      <c r="L6" s="83"/>
      <c r="M6" s="85"/>
      <c r="O6" s="31" t="s">
        <v>490</v>
      </c>
    </row>
    <row r="7" spans="1:15" x14ac:dyDescent="0.3">
      <c r="A7" s="41">
        <v>20</v>
      </c>
      <c r="B7" s="42" t="s">
        <v>92</v>
      </c>
      <c r="C7" s="43" t="s">
        <v>93</v>
      </c>
      <c r="D7" s="43">
        <v>5</v>
      </c>
      <c r="E7" s="44" t="s">
        <v>94</v>
      </c>
      <c r="F7" s="43">
        <v>10</v>
      </c>
      <c r="G7" s="48" t="s">
        <v>158</v>
      </c>
      <c r="H7" s="45" t="s">
        <v>34</v>
      </c>
      <c r="I7" s="46">
        <v>25702</v>
      </c>
      <c r="J7" s="47">
        <v>13696</v>
      </c>
      <c r="K7" s="46">
        <f t="shared" si="0"/>
        <v>39398</v>
      </c>
      <c r="L7" s="83"/>
      <c r="M7" s="85"/>
      <c r="O7" s="31" t="s">
        <v>489</v>
      </c>
    </row>
    <row r="8" spans="1:15" x14ac:dyDescent="0.3">
      <c r="A8" s="41">
        <v>59</v>
      </c>
      <c r="B8" s="42" t="s">
        <v>92</v>
      </c>
      <c r="C8" s="43" t="s">
        <v>93</v>
      </c>
      <c r="D8" s="43">
        <v>7</v>
      </c>
      <c r="E8" s="44" t="s">
        <v>94</v>
      </c>
      <c r="F8" s="43">
        <v>7</v>
      </c>
      <c r="G8" s="48" t="s">
        <v>175</v>
      </c>
      <c r="H8" s="45" t="s">
        <v>34</v>
      </c>
      <c r="I8" s="46">
        <v>0</v>
      </c>
      <c r="J8" s="47">
        <v>200000</v>
      </c>
      <c r="K8" s="46">
        <f t="shared" si="0"/>
        <v>200000</v>
      </c>
      <c r="L8" s="83"/>
      <c r="M8" s="85"/>
      <c r="O8" s="31" t="s">
        <v>489</v>
      </c>
    </row>
    <row r="9" spans="1:15" x14ac:dyDescent="0.3">
      <c r="A9" s="56"/>
      <c r="B9" s="56"/>
      <c r="C9" s="56"/>
      <c r="D9" s="56"/>
      <c r="E9" s="56"/>
      <c r="F9" s="56"/>
      <c r="G9" s="57" t="s">
        <v>190</v>
      </c>
      <c r="H9" s="56"/>
      <c r="I9" s="58">
        <f>SUMIF($L5:$L8,"YES",$I5:$I8)</f>
        <v>0</v>
      </c>
      <c r="J9" s="58">
        <f>SUMIF($L5:$L8,"YES",$J5:$J8)</f>
        <v>0</v>
      </c>
      <c r="K9" s="58">
        <f>SUMIF($L5:$L8,"YES",$K5:$K8)</f>
        <v>0</v>
      </c>
      <c r="L9" s="56"/>
      <c r="M9" s="56"/>
    </row>
    <row r="10" spans="1:15" x14ac:dyDescent="0.3">
      <c r="A10" s="79"/>
      <c r="B10" s="79"/>
      <c r="C10" s="79"/>
      <c r="D10" s="79"/>
      <c r="E10" s="79"/>
      <c r="F10" s="79"/>
      <c r="G10" s="79"/>
      <c r="H10" s="79"/>
      <c r="I10" s="79"/>
      <c r="J10" s="79"/>
      <c r="K10" s="79"/>
      <c r="L10" s="79"/>
      <c r="M10" s="79"/>
    </row>
    <row r="11" spans="1:15" ht="18" x14ac:dyDescent="0.35">
      <c r="A11" s="313" t="s">
        <v>272</v>
      </c>
      <c r="B11" s="314"/>
      <c r="C11" s="314"/>
      <c r="D11" s="314"/>
      <c r="E11" s="314"/>
      <c r="F11" s="314"/>
      <c r="G11" s="314"/>
      <c r="H11" s="314"/>
      <c r="I11" s="314"/>
      <c r="J11" s="314"/>
      <c r="K11" s="314"/>
      <c r="L11" s="314"/>
      <c r="M11" s="315"/>
    </row>
    <row r="12" spans="1:15" ht="27.6" x14ac:dyDescent="0.3">
      <c r="A12" s="34"/>
      <c r="B12" s="35" t="s">
        <v>21</v>
      </c>
      <c r="C12" s="35" t="s">
        <v>177</v>
      </c>
      <c r="D12" s="35"/>
      <c r="E12" s="36"/>
      <c r="F12" s="37"/>
      <c r="G12" s="316" t="s">
        <v>194</v>
      </c>
      <c r="H12" s="316"/>
      <c r="I12" s="39" t="s">
        <v>183</v>
      </c>
      <c r="J12" s="39" t="s">
        <v>184</v>
      </c>
      <c r="K12" s="39" t="s">
        <v>185</v>
      </c>
      <c r="L12" s="93" t="s">
        <v>178</v>
      </c>
      <c r="M12" s="40" t="s">
        <v>179</v>
      </c>
    </row>
    <row r="13" spans="1:15" ht="14.4" customHeight="1" x14ac:dyDescent="0.3">
      <c r="A13" s="52"/>
      <c r="B13" s="42" t="s">
        <v>92</v>
      </c>
      <c r="C13" s="59" t="s">
        <v>186</v>
      </c>
      <c r="D13" s="298" t="s">
        <v>263</v>
      </c>
      <c r="E13" s="299"/>
      <c r="F13" s="300"/>
      <c r="G13" s="301" t="s">
        <v>189</v>
      </c>
      <c r="H13" s="302"/>
      <c r="I13" s="46">
        <v>0</v>
      </c>
      <c r="J13" s="47">
        <v>248763</v>
      </c>
      <c r="K13" s="46">
        <f t="shared" ref="K13:K17" si="1">I13+J13</f>
        <v>248763</v>
      </c>
      <c r="L13" s="83"/>
      <c r="M13" s="85"/>
    </row>
    <row r="14" spans="1:15" x14ac:dyDescent="0.3">
      <c r="A14" s="41"/>
      <c r="B14" s="42" t="s">
        <v>92</v>
      </c>
      <c r="C14" s="59" t="s">
        <v>186</v>
      </c>
      <c r="D14" s="298" t="s">
        <v>263</v>
      </c>
      <c r="E14" s="299"/>
      <c r="F14" s="300"/>
      <c r="G14" s="301" t="s">
        <v>187</v>
      </c>
      <c r="H14" s="302"/>
      <c r="I14" s="46">
        <v>0</v>
      </c>
      <c r="J14" s="47">
        <v>0</v>
      </c>
      <c r="K14" s="46">
        <f t="shared" si="1"/>
        <v>0</v>
      </c>
      <c r="L14" s="83"/>
      <c r="M14" s="84"/>
      <c r="O14" s="31" t="s">
        <v>490</v>
      </c>
    </row>
    <row r="15" spans="1:15" x14ac:dyDescent="0.3">
      <c r="A15" s="41"/>
      <c r="B15" s="42" t="s">
        <v>92</v>
      </c>
      <c r="C15" s="59" t="s">
        <v>186</v>
      </c>
      <c r="D15" s="298" t="s">
        <v>263</v>
      </c>
      <c r="E15" s="299"/>
      <c r="F15" s="300"/>
      <c r="G15" s="301" t="s">
        <v>188</v>
      </c>
      <c r="H15" s="302"/>
      <c r="I15" s="46">
        <v>0</v>
      </c>
      <c r="J15" s="47">
        <v>191574</v>
      </c>
      <c r="K15" s="46">
        <f t="shared" si="1"/>
        <v>191574</v>
      </c>
      <c r="L15" s="83"/>
      <c r="M15" s="84"/>
      <c r="O15" s="31" t="s">
        <v>490</v>
      </c>
    </row>
    <row r="16" spans="1:15" x14ac:dyDescent="0.3">
      <c r="A16" s="41"/>
      <c r="B16" s="42"/>
      <c r="C16" s="43"/>
      <c r="D16" s="329"/>
      <c r="E16" s="299"/>
      <c r="F16" s="300"/>
      <c r="G16" s="301"/>
      <c r="H16" s="302"/>
      <c r="I16" s="46"/>
      <c r="J16" s="47"/>
      <c r="K16" s="46">
        <f t="shared" si="1"/>
        <v>0</v>
      </c>
      <c r="L16" s="83"/>
      <c r="M16" s="85"/>
      <c r="O16" s="31" t="s">
        <v>490</v>
      </c>
    </row>
    <row r="17" spans="1:13" x14ac:dyDescent="0.3">
      <c r="A17" s="41"/>
      <c r="B17" s="42"/>
      <c r="C17" s="43"/>
      <c r="D17" s="329"/>
      <c r="E17" s="299"/>
      <c r="F17" s="300"/>
      <c r="G17" s="301"/>
      <c r="H17" s="302"/>
      <c r="I17" s="46"/>
      <c r="J17" s="47"/>
      <c r="K17" s="46">
        <f t="shared" si="1"/>
        <v>0</v>
      </c>
      <c r="L17" s="83"/>
      <c r="M17" s="85"/>
    </row>
    <row r="18" spans="1:13" x14ac:dyDescent="0.3">
      <c r="A18" s="56"/>
      <c r="B18" s="56"/>
      <c r="C18" s="56"/>
      <c r="D18" s="56"/>
      <c r="E18" s="56"/>
      <c r="F18" s="56"/>
      <c r="G18" s="57" t="s">
        <v>191</v>
      </c>
      <c r="H18" s="56"/>
      <c r="I18" s="58">
        <f>SUMIF($L13:$L17,"YES",$I13:$I17)</f>
        <v>0</v>
      </c>
      <c r="J18" s="58">
        <f>SUMIF($L13:$L17,"YES",$J13:$J17)</f>
        <v>0</v>
      </c>
      <c r="K18" s="58">
        <f>SUMIF($L13:$L17,"YES",$K13:$K17)</f>
        <v>0</v>
      </c>
      <c r="L18" s="56"/>
      <c r="M18" s="56"/>
    </row>
    <row r="19" spans="1:13" x14ac:dyDescent="0.3">
      <c r="A19" s="79"/>
      <c r="B19" s="79"/>
      <c r="C19" s="79"/>
      <c r="D19" s="79"/>
      <c r="E19" s="79"/>
      <c r="F19" s="79"/>
      <c r="G19" s="79"/>
      <c r="H19" s="79"/>
      <c r="I19" s="79"/>
      <c r="J19" s="79"/>
      <c r="K19" s="79"/>
      <c r="L19" s="79"/>
      <c r="M19" s="79"/>
    </row>
    <row r="20" spans="1:13" ht="18" x14ac:dyDescent="0.35">
      <c r="A20" s="313" t="s">
        <v>298</v>
      </c>
      <c r="B20" s="314"/>
      <c r="C20" s="314"/>
      <c r="D20" s="314"/>
      <c r="E20" s="314"/>
      <c r="F20" s="314"/>
      <c r="G20" s="314"/>
      <c r="H20" s="314"/>
      <c r="I20" s="314"/>
      <c r="J20" s="314"/>
      <c r="K20" s="314"/>
      <c r="L20" s="314"/>
      <c r="M20" s="315"/>
    </row>
    <row r="21" spans="1:13" ht="27.6" x14ac:dyDescent="0.3">
      <c r="A21" s="34"/>
      <c r="B21" s="35" t="s">
        <v>21</v>
      </c>
      <c r="C21" s="35" t="s">
        <v>177</v>
      </c>
      <c r="D21" s="316" t="s">
        <v>23</v>
      </c>
      <c r="E21" s="316"/>
      <c r="F21" s="316"/>
      <c r="G21" s="316" t="s">
        <v>194</v>
      </c>
      <c r="H21" s="316"/>
      <c r="I21" s="39" t="s">
        <v>183</v>
      </c>
      <c r="J21" s="39" t="s">
        <v>184</v>
      </c>
      <c r="K21" s="39" t="s">
        <v>185</v>
      </c>
      <c r="L21" s="93" t="s">
        <v>178</v>
      </c>
      <c r="M21" s="40" t="s">
        <v>179</v>
      </c>
    </row>
    <row r="22" spans="1:13" x14ac:dyDescent="0.3">
      <c r="A22" s="52"/>
      <c r="B22" s="42" t="s">
        <v>92</v>
      </c>
      <c r="C22" s="59" t="s">
        <v>186</v>
      </c>
      <c r="D22" s="298" t="s">
        <v>263</v>
      </c>
      <c r="E22" s="299"/>
      <c r="F22" s="300"/>
      <c r="G22" s="301" t="s">
        <v>193</v>
      </c>
      <c r="H22" s="302"/>
      <c r="I22" s="46"/>
      <c r="J22" s="47"/>
      <c r="K22" s="46">
        <v>36686956</v>
      </c>
      <c r="L22" s="45" t="s">
        <v>182</v>
      </c>
      <c r="M22" s="85"/>
    </row>
    <row r="23" spans="1:13" x14ac:dyDescent="0.3">
      <c r="A23" s="41"/>
      <c r="B23" s="42" t="s">
        <v>92</v>
      </c>
      <c r="C23" s="59" t="s">
        <v>186</v>
      </c>
      <c r="D23" s="298" t="s">
        <v>263</v>
      </c>
      <c r="E23" s="299"/>
      <c r="F23" s="300"/>
      <c r="G23" s="301" t="s">
        <v>195</v>
      </c>
      <c r="H23" s="302"/>
      <c r="I23" s="46">
        <f>I9</f>
        <v>0</v>
      </c>
      <c r="J23" s="47">
        <f>J9</f>
        <v>0</v>
      </c>
      <c r="K23" s="46">
        <f t="shared" ref="K23:K53" si="2">I23+J23</f>
        <v>0</v>
      </c>
      <c r="L23" s="45" t="s">
        <v>182</v>
      </c>
      <c r="M23" s="84"/>
    </row>
    <row r="24" spans="1:13" x14ac:dyDescent="0.3">
      <c r="A24" s="41"/>
      <c r="B24" s="42" t="s">
        <v>92</v>
      </c>
      <c r="C24" s="59" t="s">
        <v>186</v>
      </c>
      <c r="D24" s="298" t="s">
        <v>263</v>
      </c>
      <c r="E24" s="299"/>
      <c r="F24" s="300"/>
      <c r="G24" s="301" t="s">
        <v>196</v>
      </c>
      <c r="H24" s="302"/>
      <c r="I24" s="46">
        <f>I18</f>
        <v>0</v>
      </c>
      <c r="J24" s="47">
        <f>J18</f>
        <v>0</v>
      </c>
      <c r="K24" s="46">
        <f t="shared" si="2"/>
        <v>0</v>
      </c>
      <c r="L24" s="45" t="s">
        <v>182</v>
      </c>
      <c r="M24" s="84"/>
    </row>
    <row r="25" spans="1:13" x14ac:dyDescent="0.3">
      <c r="A25" s="41"/>
      <c r="B25" s="42" t="s">
        <v>92</v>
      </c>
      <c r="C25" s="276" t="s">
        <v>186</v>
      </c>
      <c r="D25" s="318" t="s">
        <v>263</v>
      </c>
      <c r="E25" s="319"/>
      <c r="F25" s="320"/>
      <c r="G25" s="321" t="s">
        <v>504</v>
      </c>
      <c r="H25" s="323"/>
      <c r="I25" s="88">
        <v>35000000</v>
      </c>
      <c r="J25" s="89">
        <v>0</v>
      </c>
      <c r="K25" s="46">
        <f t="shared" si="2"/>
        <v>35000000</v>
      </c>
      <c r="L25" s="83"/>
      <c r="M25" s="85"/>
    </row>
    <row r="26" spans="1:13" x14ac:dyDescent="0.3">
      <c r="A26" s="41"/>
      <c r="B26" s="42" t="s">
        <v>92</v>
      </c>
      <c r="C26" s="276" t="s">
        <v>186</v>
      </c>
      <c r="D26" s="318" t="s">
        <v>263</v>
      </c>
      <c r="E26" s="319"/>
      <c r="F26" s="320"/>
      <c r="G26" s="321" t="s">
        <v>505</v>
      </c>
      <c r="H26" s="323"/>
      <c r="I26" s="88">
        <v>0</v>
      </c>
      <c r="J26" s="89">
        <v>2500000</v>
      </c>
      <c r="K26" s="46">
        <f t="shared" si="2"/>
        <v>2500000</v>
      </c>
      <c r="L26" s="83"/>
      <c r="M26" s="85"/>
    </row>
    <row r="27" spans="1:13" x14ac:dyDescent="0.3">
      <c r="A27" s="52"/>
      <c r="B27" s="42" t="s">
        <v>92</v>
      </c>
      <c r="C27" s="276" t="s">
        <v>186</v>
      </c>
      <c r="D27" s="318" t="s">
        <v>263</v>
      </c>
      <c r="E27" s="319"/>
      <c r="F27" s="320"/>
      <c r="G27" s="321"/>
      <c r="H27" s="323"/>
      <c r="I27" s="88"/>
      <c r="J27" s="89"/>
      <c r="K27" s="46">
        <f t="shared" si="2"/>
        <v>0</v>
      </c>
      <c r="L27" s="83"/>
      <c r="M27" s="85"/>
    </row>
    <row r="28" spans="1:13" x14ac:dyDescent="0.3">
      <c r="A28" s="41"/>
      <c r="B28" s="42" t="s">
        <v>92</v>
      </c>
      <c r="C28" s="87"/>
      <c r="D28" s="330"/>
      <c r="E28" s="319"/>
      <c r="F28" s="320"/>
      <c r="G28" s="321"/>
      <c r="H28" s="323"/>
      <c r="I28" s="88"/>
      <c r="J28" s="89"/>
      <c r="K28" s="46">
        <f t="shared" si="2"/>
        <v>0</v>
      </c>
      <c r="L28" s="83"/>
      <c r="M28" s="84"/>
    </row>
    <row r="29" spans="1:13" x14ac:dyDescent="0.3">
      <c r="A29" s="41"/>
      <c r="B29" s="42" t="s">
        <v>92</v>
      </c>
      <c r="C29" s="87"/>
      <c r="D29" s="330"/>
      <c r="E29" s="319"/>
      <c r="F29" s="320"/>
      <c r="G29" s="321"/>
      <c r="H29" s="323"/>
      <c r="I29" s="88"/>
      <c r="J29" s="89"/>
      <c r="K29" s="46">
        <f t="shared" si="2"/>
        <v>0</v>
      </c>
      <c r="L29" s="83"/>
      <c r="M29" s="84"/>
    </row>
    <row r="30" spans="1:13" x14ac:dyDescent="0.3">
      <c r="A30" s="41"/>
      <c r="B30" s="42" t="s">
        <v>92</v>
      </c>
      <c r="C30" s="87"/>
      <c r="D30" s="330"/>
      <c r="E30" s="319"/>
      <c r="F30" s="320"/>
      <c r="G30" s="321"/>
      <c r="H30" s="323"/>
      <c r="I30" s="88"/>
      <c r="J30" s="89"/>
      <c r="K30" s="46">
        <f t="shared" si="2"/>
        <v>0</v>
      </c>
      <c r="L30" s="83"/>
      <c r="M30" s="85"/>
    </row>
    <row r="31" spans="1:13" x14ac:dyDescent="0.3">
      <c r="A31" s="41"/>
      <c r="B31" s="42" t="s">
        <v>92</v>
      </c>
      <c r="C31" s="87"/>
      <c r="D31" s="330"/>
      <c r="E31" s="319"/>
      <c r="F31" s="320"/>
      <c r="G31" s="321"/>
      <c r="H31" s="323"/>
      <c r="I31" s="88"/>
      <c r="J31" s="89"/>
      <c r="K31" s="46">
        <f t="shared" si="2"/>
        <v>0</v>
      </c>
      <c r="L31" s="83"/>
      <c r="M31" s="85"/>
    </row>
    <row r="32" spans="1:13" x14ac:dyDescent="0.3">
      <c r="A32" s="41"/>
      <c r="B32" s="42" t="s">
        <v>92</v>
      </c>
      <c r="C32" s="87"/>
      <c r="D32" s="330"/>
      <c r="E32" s="319"/>
      <c r="F32" s="320"/>
      <c r="G32" s="321"/>
      <c r="H32" s="323"/>
      <c r="I32" s="88"/>
      <c r="J32" s="89"/>
      <c r="K32" s="46">
        <f t="shared" si="2"/>
        <v>0</v>
      </c>
      <c r="L32" s="83"/>
      <c r="M32" s="85"/>
    </row>
    <row r="33" spans="1:13" x14ac:dyDescent="0.3">
      <c r="A33" s="52"/>
      <c r="B33" s="42" t="s">
        <v>92</v>
      </c>
      <c r="C33" s="87"/>
      <c r="D33" s="330"/>
      <c r="E33" s="319"/>
      <c r="F33" s="320"/>
      <c r="G33" s="321"/>
      <c r="H33" s="323"/>
      <c r="I33" s="88"/>
      <c r="J33" s="89"/>
      <c r="K33" s="46">
        <f t="shared" si="2"/>
        <v>0</v>
      </c>
      <c r="L33" s="83"/>
      <c r="M33" s="85"/>
    </row>
    <row r="34" spans="1:13" x14ac:dyDescent="0.3">
      <c r="A34" s="41"/>
      <c r="B34" s="42" t="s">
        <v>92</v>
      </c>
      <c r="C34" s="87"/>
      <c r="D34" s="330"/>
      <c r="E34" s="319"/>
      <c r="F34" s="320"/>
      <c r="G34" s="321"/>
      <c r="H34" s="323"/>
      <c r="I34" s="88"/>
      <c r="J34" s="89"/>
      <c r="K34" s="46">
        <f t="shared" si="2"/>
        <v>0</v>
      </c>
      <c r="L34" s="83"/>
      <c r="M34" s="84"/>
    </row>
    <row r="35" spans="1:13" x14ac:dyDescent="0.3">
      <c r="A35" s="41"/>
      <c r="B35" s="42" t="s">
        <v>92</v>
      </c>
      <c r="C35" s="87"/>
      <c r="D35" s="330"/>
      <c r="E35" s="319"/>
      <c r="F35" s="320"/>
      <c r="G35" s="321"/>
      <c r="H35" s="323"/>
      <c r="I35" s="88"/>
      <c r="J35" s="89"/>
      <c r="K35" s="46">
        <f t="shared" si="2"/>
        <v>0</v>
      </c>
      <c r="L35" s="83"/>
      <c r="M35" s="84"/>
    </row>
    <row r="36" spans="1:13" x14ac:dyDescent="0.3">
      <c r="A36" s="41"/>
      <c r="B36" s="42" t="s">
        <v>92</v>
      </c>
      <c r="C36" s="87"/>
      <c r="D36" s="330"/>
      <c r="E36" s="319"/>
      <c r="F36" s="320"/>
      <c r="G36" s="321"/>
      <c r="H36" s="323"/>
      <c r="I36" s="88"/>
      <c r="J36" s="89"/>
      <c r="K36" s="46">
        <f t="shared" si="2"/>
        <v>0</v>
      </c>
      <c r="L36" s="83"/>
      <c r="M36" s="85"/>
    </row>
    <row r="37" spans="1:13" x14ac:dyDescent="0.3">
      <c r="A37" s="41"/>
      <c r="B37" s="42" t="s">
        <v>92</v>
      </c>
      <c r="C37" s="87"/>
      <c r="D37" s="330"/>
      <c r="E37" s="319"/>
      <c r="F37" s="320"/>
      <c r="G37" s="321"/>
      <c r="H37" s="323"/>
      <c r="I37" s="88"/>
      <c r="J37" s="89"/>
      <c r="K37" s="46">
        <f t="shared" si="2"/>
        <v>0</v>
      </c>
      <c r="L37" s="83"/>
      <c r="M37" s="85"/>
    </row>
    <row r="38" spans="1:13" x14ac:dyDescent="0.3">
      <c r="A38" s="41"/>
      <c r="B38" s="42" t="s">
        <v>92</v>
      </c>
      <c r="C38" s="87"/>
      <c r="D38" s="330"/>
      <c r="E38" s="319"/>
      <c r="F38" s="320"/>
      <c r="G38" s="321"/>
      <c r="H38" s="323"/>
      <c r="I38" s="88"/>
      <c r="J38" s="89"/>
      <c r="K38" s="46">
        <f t="shared" si="2"/>
        <v>0</v>
      </c>
      <c r="L38" s="83"/>
      <c r="M38" s="85"/>
    </row>
    <row r="39" spans="1:13" x14ac:dyDescent="0.3">
      <c r="A39" s="52"/>
      <c r="B39" s="42" t="s">
        <v>92</v>
      </c>
      <c r="C39" s="87"/>
      <c r="D39" s="330"/>
      <c r="E39" s="319"/>
      <c r="F39" s="320"/>
      <c r="G39" s="321"/>
      <c r="H39" s="323"/>
      <c r="I39" s="88"/>
      <c r="J39" s="89"/>
      <c r="K39" s="46">
        <f t="shared" si="2"/>
        <v>0</v>
      </c>
      <c r="L39" s="83"/>
      <c r="M39" s="85"/>
    </row>
    <row r="40" spans="1:13" x14ac:dyDescent="0.3">
      <c r="A40" s="41"/>
      <c r="B40" s="42" t="s">
        <v>92</v>
      </c>
      <c r="C40" s="87"/>
      <c r="D40" s="330"/>
      <c r="E40" s="319"/>
      <c r="F40" s="320"/>
      <c r="G40" s="321"/>
      <c r="H40" s="323"/>
      <c r="I40" s="88"/>
      <c r="J40" s="89"/>
      <c r="K40" s="46">
        <f t="shared" si="2"/>
        <v>0</v>
      </c>
      <c r="L40" s="83"/>
      <c r="M40" s="84"/>
    </row>
    <row r="41" spans="1:13" x14ac:dyDescent="0.3">
      <c r="A41" s="41"/>
      <c r="B41" s="42" t="s">
        <v>92</v>
      </c>
      <c r="C41" s="87"/>
      <c r="D41" s="330"/>
      <c r="E41" s="319"/>
      <c r="F41" s="320"/>
      <c r="G41" s="321"/>
      <c r="H41" s="323"/>
      <c r="I41" s="88"/>
      <c r="J41" s="89"/>
      <c r="K41" s="46">
        <f t="shared" si="2"/>
        <v>0</v>
      </c>
      <c r="L41" s="83"/>
      <c r="M41" s="84"/>
    </row>
    <row r="42" spans="1:13" x14ac:dyDescent="0.3">
      <c r="A42" s="41"/>
      <c r="B42" s="42" t="s">
        <v>92</v>
      </c>
      <c r="C42" s="87"/>
      <c r="D42" s="330"/>
      <c r="E42" s="319"/>
      <c r="F42" s="320"/>
      <c r="G42" s="321"/>
      <c r="H42" s="323"/>
      <c r="I42" s="88"/>
      <c r="J42" s="89"/>
      <c r="K42" s="46">
        <f t="shared" si="2"/>
        <v>0</v>
      </c>
      <c r="L42" s="83"/>
      <c r="M42" s="85"/>
    </row>
    <row r="43" spans="1:13" x14ac:dyDescent="0.3">
      <c r="A43" s="41"/>
      <c r="B43" s="42" t="s">
        <v>92</v>
      </c>
      <c r="C43" s="87"/>
      <c r="D43" s="330"/>
      <c r="E43" s="319"/>
      <c r="F43" s="320"/>
      <c r="G43" s="321"/>
      <c r="H43" s="323"/>
      <c r="I43" s="88"/>
      <c r="J43" s="89"/>
      <c r="K43" s="46">
        <f t="shared" si="2"/>
        <v>0</v>
      </c>
      <c r="L43" s="83"/>
      <c r="M43" s="85"/>
    </row>
    <row r="44" spans="1:13" x14ac:dyDescent="0.3">
      <c r="A44" s="41"/>
      <c r="B44" s="42" t="s">
        <v>92</v>
      </c>
      <c r="C44" s="87"/>
      <c r="D44" s="330"/>
      <c r="E44" s="319"/>
      <c r="F44" s="320"/>
      <c r="G44" s="321"/>
      <c r="H44" s="323"/>
      <c r="I44" s="88"/>
      <c r="J44" s="89"/>
      <c r="K44" s="46">
        <f t="shared" si="2"/>
        <v>0</v>
      </c>
      <c r="L44" s="83"/>
      <c r="M44" s="85"/>
    </row>
    <row r="45" spans="1:13" x14ac:dyDescent="0.3">
      <c r="A45" s="41"/>
      <c r="B45" s="42" t="s">
        <v>92</v>
      </c>
      <c r="C45" s="87"/>
      <c r="D45" s="330"/>
      <c r="E45" s="319"/>
      <c r="F45" s="320"/>
      <c r="G45" s="321"/>
      <c r="H45" s="323"/>
      <c r="I45" s="88"/>
      <c r="J45" s="89"/>
      <c r="K45" s="46">
        <f t="shared" si="2"/>
        <v>0</v>
      </c>
      <c r="L45" s="83"/>
      <c r="M45" s="85"/>
    </row>
    <row r="46" spans="1:13" x14ac:dyDescent="0.3">
      <c r="A46" s="41"/>
      <c r="B46" s="42" t="s">
        <v>92</v>
      </c>
      <c r="C46" s="87"/>
      <c r="D46" s="330"/>
      <c r="E46" s="319"/>
      <c r="F46" s="320"/>
      <c r="G46" s="321"/>
      <c r="H46" s="323"/>
      <c r="I46" s="88"/>
      <c r="J46" s="89"/>
      <c r="K46" s="46">
        <f t="shared" si="2"/>
        <v>0</v>
      </c>
      <c r="L46" s="83"/>
      <c r="M46" s="85"/>
    </row>
    <row r="47" spans="1:13" x14ac:dyDescent="0.3">
      <c r="A47" s="41"/>
      <c r="B47" s="42" t="s">
        <v>92</v>
      </c>
      <c r="C47" s="87"/>
      <c r="D47" s="330"/>
      <c r="E47" s="319"/>
      <c r="F47" s="320"/>
      <c r="G47" s="321"/>
      <c r="H47" s="323"/>
      <c r="I47" s="88"/>
      <c r="J47" s="89"/>
      <c r="K47" s="46">
        <f t="shared" si="2"/>
        <v>0</v>
      </c>
      <c r="L47" s="83"/>
      <c r="M47" s="85"/>
    </row>
    <row r="48" spans="1:13" x14ac:dyDescent="0.3">
      <c r="A48" s="52"/>
      <c r="B48" s="42" t="s">
        <v>92</v>
      </c>
      <c r="C48" s="87"/>
      <c r="D48" s="330"/>
      <c r="E48" s="319"/>
      <c r="F48" s="320"/>
      <c r="G48" s="321"/>
      <c r="H48" s="323"/>
      <c r="I48" s="88"/>
      <c r="J48" s="89"/>
      <c r="K48" s="46">
        <f t="shared" si="2"/>
        <v>0</v>
      </c>
      <c r="L48" s="83"/>
      <c r="M48" s="85"/>
    </row>
    <row r="49" spans="1:15" x14ac:dyDescent="0.3">
      <c r="A49" s="41"/>
      <c r="B49" s="42" t="s">
        <v>92</v>
      </c>
      <c r="C49" s="87"/>
      <c r="D49" s="330"/>
      <c r="E49" s="319"/>
      <c r="F49" s="320"/>
      <c r="G49" s="321"/>
      <c r="H49" s="323"/>
      <c r="I49" s="88"/>
      <c r="J49" s="89"/>
      <c r="K49" s="46">
        <f t="shared" si="2"/>
        <v>0</v>
      </c>
      <c r="L49" s="83"/>
      <c r="M49" s="84"/>
    </row>
    <row r="50" spans="1:15" x14ac:dyDescent="0.3">
      <c r="A50" s="41"/>
      <c r="B50" s="42" t="s">
        <v>92</v>
      </c>
      <c r="C50" s="87"/>
      <c r="D50" s="330"/>
      <c r="E50" s="319"/>
      <c r="F50" s="320"/>
      <c r="G50" s="321"/>
      <c r="H50" s="323"/>
      <c r="I50" s="88"/>
      <c r="J50" s="89"/>
      <c r="K50" s="46">
        <f t="shared" si="2"/>
        <v>0</v>
      </c>
      <c r="L50" s="83"/>
      <c r="M50" s="84"/>
    </row>
    <row r="51" spans="1:15" x14ac:dyDescent="0.3">
      <c r="A51" s="41"/>
      <c r="B51" s="42" t="s">
        <v>92</v>
      </c>
      <c r="C51" s="87"/>
      <c r="D51" s="330"/>
      <c r="E51" s="319"/>
      <c r="F51" s="320"/>
      <c r="G51" s="321"/>
      <c r="H51" s="323"/>
      <c r="I51" s="88"/>
      <c r="J51" s="89"/>
      <c r="K51" s="46">
        <f t="shared" si="2"/>
        <v>0</v>
      </c>
      <c r="L51" s="83"/>
      <c r="M51" s="85"/>
    </row>
    <row r="52" spans="1:15" x14ac:dyDescent="0.3">
      <c r="A52" s="41"/>
      <c r="B52" s="42" t="s">
        <v>92</v>
      </c>
      <c r="C52" s="87"/>
      <c r="D52" s="330"/>
      <c r="E52" s="319"/>
      <c r="F52" s="320"/>
      <c r="G52" s="321"/>
      <c r="H52" s="323"/>
      <c r="I52" s="88"/>
      <c r="J52" s="89"/>
      <c r="K52" s="46">
        <f t="shared" si="2"/>
        <v>0</v>
      </c>
      <c r="L52" s="83"/>
      <c r="M52" s="85"/>
    </row>
    <row r="53" spans="1:15" x14ac:dyDescent="0.3">
      <c r="A53" s="41"/>
      <c r="B53" s="42" t="s">
        <v>92</v>
      </c>
      <c r="C53" s="87"/>
      <c r="D53" s="330"/>
      <c r="E53" s="319"/>
      <c r="F53" s="320"/>
      <c r="G53" s="321"/>
      <c r="H53" s="323"/>
      <c r="I53" s="88"/>
      <c r="J53" s="89"/>
      <c r="K53" s="46">
        <f t="shared" si="2"/>
        <v>0</v>
      </c>
      <c r="L53" s="83"/>
      <c r="M53" s="85"/>
    </row>
    <row r="54" spans="1:15" x14ac:dyDescent="0.3">
      <c r="A54" s="56"/>
      <c r="B54" s="56"/>
      <c r="C54" s="56"/>
      <c r="D54" s="56"/>
      <c r="E54" s="56"/>
      <c r="F54" s="56"/>
      <c r="G54" s="57" t="s">
        <v>260</v>
      </c>
      <c r="H54" s="56"/>
      <c r="I54" s="58">
        <f>SUMIF($L22:$L53,"YES",$I22:$I53)</f>
        <v>0</v>
      </c>
      <c r="J54" s="58">
        <f>SUMIF($L22:$L53,"YES",$J22:$J53)</f>
        <v>0</v>
      </c>
      <c r="K54" s="58">
        <f>SUMIF($L22:$L53,"YES",$K22:$K53)</f>
        <v>36686956</v>
      </c>
      <c r="L54" s="56"/>
      <c r="M54" s="56"/>
    </row>
    <row r="55" spans="1:15" x14ac:dyDescent="0.3">
      <c r="A55" s="79"/>
      <c r="B55" s="79"/>
      <c r="C55" s="79"/>
      <c r="D55" s="79"/>
      <c r="E55" s="79"/>
      <c r="F55" s="79"/>
      <c r="G55" s="79"/>
      <c r="H55" s="79"/>
      <c r="I55" s="79"/>
      <c r="J55" s="79"/>
      <c r="K55" s="79"/>
      <c r="L55" s="79"/>
      <c r="M55" s="79"/>
    </row>
    <row r="56" spans="1:15" x14ac:dyDescent="0.3">
      <c r="A56" s="79"/>
      <c r="B56" s="79"/>
      <c r="C56" s="79"/>
      <c r="D56" s="79"/>
      <c r="E56" s="79"/>
      <c r="F56" s="79"/>
      <c r="G56" s="79"/>
      <c r="H56" s="79"/>
      <c r="I56" s="79"/>
      <c r="J56" s="79"/>
      <c r="K56" s="79"/>
      <c r="L56" s="79"/>
      <c r="M56" s="79"/>
    </row>
    <row r="57" spans="1:15" ht="18" x14ac:dyDescent="0.35">
      <c r="A57" s="303" t="s">
        <v>273</v>
      </c>
      <c r="B57" s="304"/>
      <c r="C57" s="304"/>
      <c r="D57" s="304"/>
      <c r="E57" s="304"/>
      <c r="F57" s="304"/>
      <c r="G57" s="304"/>
      <c r="H57" s="304"/>
      <c r="I57" s="304"/>
      <c r="J57" s="304"/>
      <c r="K57" s="304"/>
      <c r="L57" s="304"/>
      <c r="M57" s="305"/>
    </row>
    <row r="58" spans="1:15" ht="36.6" customHeight="1" x14ac:dyDescent="0.3">
      <c r="A58" s="60"/>
      <c r="B58" s="61" t="s">
        <v>21</v>
      </c>
      <c r="C58" s="61" t="s">
        <v>177</v>
      </c>
      <c r="D58" s="306" t="s">
        <v>23</v>
      </c>
      <c r="E58" s="306"/>
      <c r="F58" s="306"/>
      <c r="G58" s="306" t="s">
        <v>194</v>
      </c>
      <c r="H58" s="306"/>
      <c r="I58" s="62"/>
      <c r="J58" s="62"/>
      <c r="K58" s="62" t="s">
        <v>236</v>
      </c>
      <c r="L58" s="93" t="s">
        <v>178</v>
      </c>
      <c r="M58" s="63" t="s">
        <v>179</v>
      </c>
    </row>
    <row r="59" spans="1:15" ht="25.2" customHeight="1" x14ac:dyDescent="0.3">
      <c r="A59" s="41"/>
      <c r="B59" s="42" t="s">
        <v>92</v>
      </c>
      <c r="C59" s="59" t="s">
        <v>186</v>
      </c>
      <c r="D59" s="298" t="s">
        <v>263</v>
      </c>
      <c r="E59" s="299"/>
      <c r="F59" s="300"/>
      <c r="G59" s="301" t="s">
        <v>233</v>
      </c>
      <c r="H59" s="302"/>
      <c r="I59" s="64"/>
      <c r="J59" s="46"/>
      <c r="K59" s="46">
        <v>13946900</v>
      </c>
      <c r="L59" s="45" t="s">
        <v>182</v>
      </c>
      <c r="M59" s="84"/>
    </row>
    <row r="60" spans="1:15" x14ac:dyDescent="0.3">
      <c r="A60" s="41"/>
      <c r="B60" s="42" t="s">
        <v>92</v>
      </c>
      <c r="C60" s="59" t="s">
        <v>186</v>
      </c>
      <c r="D60" s="298" t="s">
        <v>263</v>
      </c>
      <c r="E60" s="299"/>
      <c r="F60" s="300"/>
      <c r="G60" s="301" t="s">
        <v>259</v>
      </c>
      <c r="H60" s="302"/>
      <c r="I60" s="65"/>
      <c r="J60" s="47"/>
      <c r="K60" s="46">
        <v>19138000</v>
      </c>
      <c r="L60" s="45" t="s">
        <v>182</v>
      </c>
      <c r="M60" s="94"/>
    </row>
    <row r="61" spans="1:15" x14ac:dyDescent="0.3">
      <c r="A61" s="296" t="s">
        <v>261</v>
      </c>
      <c r="B61" s="296"/>
      <c r="C61" s="296"/>
      <c r="D61" s="296"/>
      <c r="E61" s="296"/>
      <c r="F61" s="296"/>
      <c r="G61" s="296"/>
      <c r="H61" s="296"/>
      <c r="I61" s="296"/>
      <c r="J61" s="296"/>
      <c r="K61" s="66">
        <f>SUMIF($L59:$L60,"YES",$K59:$K60)</f>
        <v>33084900</v>
      </c>
      <c r="L61" s="67"/>
      <c r="M61" s="67"/>
    </row>
    <row r="62" spans="1:15" ht="15" thickBot="1" x14ac:dyDescent="0.35">
      <c r="A62" s="297" t="s">
        <v>260</v>
      </c>
      <c r="B62" s="297"/>
      <c r="C62" s="297"/>
      <c r="D62" s="297"/>
      <c r="E62" s="297"/>
      <c r="F62" s="297"/>
      <c r="G62" s="297"/>
      <c r="H62" s="297"/>
      <c r="I62" s="297"/>
      <c r="J62" s="297"/>
      <c r="K62" s="68">
        <f>K54</f>
        <v>36686956</v>
      </c>
      <c r="L62" s="56"/>
      <c r="M62" s="56"/>
    </row>
    <row r="63" spans="1:15" s="32" customFormat="1" ht="15" thickBot="1" x14ac:dyDescent="0.35">
      <c r="A63" s="307" t="str">
        <f>IF(K63&lt;0,"YOUR BUDGET EXCEEDS THE AVAILABLE REVENUE.",(IF(K63=0,"CONGRATULATIONS! YOU BALANCED YOUR BUDGET.","YOUR REVENUES EXCEED EXPENDITURES.  YOU CAN ADD MORE TO THE BUDGET.")))</f>
        <v>YOUR BUDGET EXCEEDS THE AVAILABLE REVENUE.</v>
      </c>
      <c r="B63" s="308"/>
      <c r="C63" s="308"/>
      <c r="D63" s="308"/>
      <c r="E63" s="308"/>
      <c r="F63" s="308"/>
      <c r="G63" s="308"/>
      <c r="H63" s="308"/>
      <c r="I63" s="308"/>
      <c r="J63" s="308"/>
      <c r="K63" s="69">
        <f>K61-K62</f>
        <v>-3602056</v>
      </c>
      <c r="L63" s="70"/>
      <c r="M63" s="71"/>
      <c r="O63" s="33"/>
    </row>
    <row r="64" spans="1:15" x14ac:dyDescent="0.3">
      <c r="A64" s="79"/>
      <c r="B64" s="79"/>
      <c r="C64" s="79"/>
      <c r="D64" s="79"/>
      <c r="E64" s="79"/>
      <c r="F64" s="79"/>
      <c r="G64" s="79"/>
      <c r="H64" s="79"/>
      <c r="I64" s="79"/>
      <c r="J64" s="79"/>
      <c r="K64" s="79"/>
      <c r="L64" s="79"/>
      <c r="M64" s="79"/>
    </row>
    <row r="65" spans="1:13" x14ac:dyDescent="0.3">
      <c r="A65" s="79"/>
      <c r="B65" s="79"/>
      <c r="C65" s="79"/>
      <c r="D65" s="79"/>
      <c r="E65" s="79"/>
      <c r="F65" s="79"/>
      <c r="G65" s="79"/>
      <c r="H65" s="79"/>
      <c r="I65" s="79"/>
      <c r="J65" s="79"/>
      <c r="K65" s="79"/>
      <c r="L65" s="79"/>
      <c r="M65" s="79"/>
    </row>
    <row r="66" spans="1:13" x14ac:dyDescent="0.3">
      <c r="A66" s="79"/>
      <c r="B66" s="79"/>
      <c r="C66" s="79"/>
      <c r="D66" s="79"/>
      <c r="E66" s="79"/>
      <c r="F66" s="79"/>
      <c r="G66" s="79"/>
      <c r="H66" s="79"/>
      <c r="I66" s="79"/>
      <c r="J66" s="79"/>
      <c r="K66" s="79"/>
      <c r="L66" s="79"/>
      <c r="M66" s="79"/>
    </row>
    <row r="67" spans="1:13" x14ac:dyDescent="0.3">
      <c r="A67" s="79"/>
      <c r="B67" s="79"/>
      <c r="C67" s="79"/>
      <c r="D67" s="79"/>
      <c r="E67" s="79"/>
      <c r="F67" s="79"/>
      <c r="G67" s="79"/>
      <c r="H67" s="79"/>
      <c r="I67" s="79"/>
      <c r="J67" s="79"/>
      <c r="K67" s="79"/>
      <c r="L67" s="79"/>
      <c r="M67" s="79"/>
    </row>
    <row r="68" spans="1:13" x14ac:dyDescent="0.3">
      <c r="A68" s="79"/>
      <c r="B68" s="79"/>
      <c r="C68" s="79"/>
      <c r="D68" s="79"/>
      <c r="E68" s="79"/>
      <c r="F68" s="79"/>
      <c r="G68" s="79"/>
      <c r="H68" s="79"/>
      <c r="I68" s="79"/>
      <c r="J68" s="79"/>
      <c r="K68" s="79"/>
      <c r="L68" s="79"/>
      <c r="M68" s="79"/>
    </row>
    <row r="69" spans="1:13" x14ac:dyDescent="0.3">
      <c r="A69" s="79"/>
      <c r="B69" s="79"/>
      <c r="C69" s="79"/>
      <c r="D69" s="79"/>
      <c r="E69" s="79"/>
      <c r="F69" s="79"/>
      <c r="G69" s="79"/>
      <c r="H69" s="79"/>
      <c r="I69" s="79"/>
      <c r="J69" s="79"/>
      <c r="K69" s="79"/>
      <c r="L69" s="79"/>
      <c r="M69" s="79"/>
    </row>
    <row r="70" spans="1:13" x14ac:dyDescent="0.3">
      <c r="A70" s="79"/>
      <c r="B70" s="79"/>
      <c r="C70" s="79"/>
      <c r="D70" s="79"/>
      <c r="E70" s="79"/>
      <c r="F70" s="79"/>
      <c r="G70" s="79"/>
      <c r="H70" s="79"/>
      <c r="I70" s="79"/>
      <c r="J70" s="79"/>
      <c r="K70" s="79"/>
      <c r="L70" s="79"/>
      <c r="M70" s="79"/>
    </row>
    <row r="71" spans="1:13" x14ac:dyDescent="0.3">
      <c r="A71" s="79"/>
      <c r="B71" s="79"/>
      <c r="C71" s="79"/>
      <c r="D71" s="79"/>
      <c r="E71" s="79"/>
      <c r="F71" s="79"/>
      <c r="G71" s="79"/>
      <c r="H71" s="79"/>
      <c r="I71" s="79"/>
      <c r="J71" s="79"/>
      <c r="K71" s="79"/>
      <c r="L71" s="79"/>
      <c r="M71" s="79"/>
    </row>
    <row r="72" spans="1:13" x14ac:dyDescent="0.3">
      <c r="A72" s="79"/>
      <c r="B72" s="79"/>
      <c r="C72" s="79"/>
      <c r="D72" s="79"/>
      <c r="E72" s="79"/>
      <c r="F72" s="79"/>
      <c r="G72" s="79"/>
      <c r="H72" s="79"/>
      <c r="I72" s="79"/>
      <c r="J72" s="79"/>
      <c r="K72" s="79"/>
      <c r="L72" s="79"/>
      <c r="M72" s="79"/>
    </row>
    <row r="73" spans="1:13" x14ac:dyDescent="0.3">
      <c r="A73" s="79"/>
      <c r="B73" s="79"/>
      <c r="C73" s="79"/>
      <c r="D73" s="79"/>
      <c r="E73" s="79"/>
      <c r="F73" s="79"/>
      <c r="G73" s="79"/>
      <c r="H73" s="79"/>
      <c r="I73" s="79"/>
      <c r="J73" s="79"/>
      <c r="K73" s="79"/>
      <c r="L73" s="79"/>
      <c r="M73" s="79"/>
    </row>
    <row r="74" spans="1:13" x14ac:dyDescent="0.3">
      <c r="A74" s="79"/>
      <c r="B74" s="79"/>
      <c r="C74" s="79"/>
      <c r="D74" s="79"/>
      <c r="E74" s="79"/>
      <c r="F74" s="79"/>
      <c r="G74" s="79"/>
      <c r="H74" s="79"/>
      <c r="I74" s="79"/>
      <c r="J74" s="79"/>
      <c r="K74" s="79"/>
      <c r="L74" s="79"/>
      <c r="M74" s="79"/>
    </row>
    <row r="75" spans="1:13" x14ac:dyDescent="0.3">
      <c r="A75" s="79"/>
      <c r="B75" s="79"/>
      <c r="C75" s="79"/>
      <c r="D75" s="79"/>
      <c r="E75" s="79"/>
      <c r="F75" s="79"/>
      <c r="G75" s="79"/>
      <c r="H75" s="79"/>
      <c r="I75" s="79"/>
      <c r="J75" s="79"/>
      <c r="K75" s="79"/>
      <c r="L75" s="79"/>
      <c r="M75" s="79"/>
    </row>
    <row r="76" spans="1:13" x14ac:dyDescent="0.3">
      <c r="A76" s="79"/>
      <c r="B76" s="79"/>
      <c r="C76" s="79"/>
      <c r="D76" s="79"/>
      <c r="E76" s="79"/>
      <c r="F76" s="79"/>
      <c r="G76" s="79"/>
      <c r="H76" s="79"/>
      <c r="I76" s="79"/>
      <c r="J76" s="79"/>
      <c r="K76" s="79"/>
      <c r="L76" s="79"/>
      <c r="M76" s="79"/>
    </row>
    <row r="77" spans="1:13" x14ac:dyDescent="0.3">
      <c r="A77" s="79"/>
      <c r="B77" s="79"/>
      <c r="C77" s="79"/>
      <c r="D77" s="79"/>
      <c r="E77" s="79"/>
      <c r="F77" s="79"/>
      <c r="G77" s="79"/>
      <c r="H77" s="79"/>
      <c r="I77" s="79"/>
      <c r="J77" s="79"/>
      <c r="K77" s="79"/>
      <c r="L77" s="79"/>
      <c r="M77" s="79"/>
    </row>
    <row r="78" spans="1:13" x14ac:dyDescent="0.3">
      <c r="A78" s="79"/>
      <c r="B78" s="79"/>
      <c r="C78" s="79"/>
      <c r="D78" s="79"/>
      <c r="E78" s="79"/>
      <c r="F78" s="79"/>
      <c r="G78" s="79"/>
      <c r="H78" s="79"/>
      <c r="I78" s="79"/>
      <c r="J78" s="79"/>
      <c r="K78" s="79"/>
      <c r="L78" s="79"/>
      <c r="M78" s="79"/>
    </row>
    <row r="79" spans="1:13" x14ac:dyDescent="0.3">
      <c r="A79" s="79"/>
      <c r="B79" s="79"/>
      <c r="C79" s="79"/>
      <c r="D79" s="79"/>
      <c r="E79" s="79"/>
      <c r="F79" s="79"/>
      <c r="G79" s="79"/>
      <c r="H79" s="79"/>
      <c r="I79" s="79"/>
      <c r="J79" s="79"/>
      <c r="K79" s="79"/>
      <c r="L79" s="79"/>
      <c r="M79" s="79"/>
    </row>
    <row r="80" spans="1:13" x14ac:dyDescent="0.3">
      <c r="A80" s="79"/>
      <c r="B80" s="79"/>
      <c r="C80" s="79"/>
      <c r="D80" s="79"/>
      <c r="E80" s="79"/>
      <c r="F80" s="79"/>
      <c r="G80" s="79"/>
      <c r="H80" s="79"/>
      <c r="I80" s="79"/>
      <c r="J80" s="79"/>
      <c r="K80" s="79"/>
      <c r="L80" s="79"/>
      <c r="M80" s="79"/>
    </row>
    <row r="81" spans="1:13" x14ac:dyDescent="0.3">
      <c r="A81" s="79"/>
      <c r="B81" s="79"/>
      <c r="C81" s="79"/>
      <c r="D81" s="79"/>
      <c r="E81" s="79"/>
      <c r="F81" s="79"/>
      <c r="G81" s="79"/>
      <c r="H81" s="79"/>
      <c r="I81" s="79"/>
      <c r="J81" s="79"/>
      <c r="K81" s="79"/>
      <c r="L81" s="79"/>
      <c r="M81" s="79"/>
    </row>
    <row r="82" spans="1:13" x14ac:dyDescent="0.3">
      <c r="A82" s="79"/>
      <c r="B82" s="79"/>
      <c r="C82" s="79"/>
      <c r="D82" s="79"/>
      <c r="E82" s="79"/>
      <c r="F82" s="79"/>
      <c r="G82" s="79"/>
      <c r="H82" s="79"/>
      <c r="I82" s="79"/>
      <c r="J82" s="79"/>
      <c r="K82" s="79"/>
      <c r="L82" s="79"/>
      <c r="M82" s="79"/>
    </row>
  </sheetData>
  <sheetProtection algorithmName="SHA-512" hashValue="j7zlTx9mYZUbcEzFBM+DAwf6xPSPQarraFtulSObLCRxDUylEPKSXyZDECoSEiRMPPhmjzHr9JRHUZU/2tcdGw==" saltValue="1Ezge7Wr6lcdqTqyXPAreQ==" spinCount="100000" sheet="1" objects="1" scenarios="1"/>
  <mergeCells count="91">
    <mergeCell ref="A1:M1"/>
    <mergeCell ref="A3:M3"/>
    <mergeCell ref="A11:M11"/>
    <mergeCell ref="G12:H12"/>
    <mergeCell ref="D13:F13"/>
    <mergeCell ref="G13:H13"/>
    <mergeCell ref="D14:F14"/>
    <mergeCell ref="G14:H14"/>
    <mergeCell ref="D15:F15"/>
    <mergeCell ref="G15:H15"/>
    <mergeCell ref="D16:F16"/>
    <mergeCell ref="G16:H16"/>
    <mergeCell ref="D23:F23"/>
    <mergeCell ref="G23:H23"/>
    <mergeCell ref="D24:F24"/>
    <mergeCell ref="G24:H24"/>
    <mergeCell ref="D17:F17"/>
    <mergeCell ref="G17:H17"/>
    <mergeCell ref="A20:M20"/>
    <mergeCell ref="D21:F21"/>
    <mergeCell ref="G21:H21"/>
    <mergeCell ref="D22:F22"/>
    <mergeCell ref="G22:H22"/>
    <mergeCell ref="D25:F25"/>
    <mergeCell ref="G25:H25"/>
    <mergeCell ref="D26:F26"/>
    <mergeCell ref="G26:H26"/>
    <mergeCell ref="D27:F27"/>
    <mergeCell ref="G27:H27"/>
    <mergeCell ref="D28:F28"/>
    <mergeCell ref="G28:H28"/>
    <mergeCell ref="D29:F29"/>
    <mergeCell ref="G29:H29"/>
    <mergeCell ref="D30:F30"/>
    <mergeCell ref="G30:H30"/>
    <mergeCell ref="D31:F31"/>
    <mergeCell ref="G31:H31"/>
    <mergeCell ref="D32:F32"/>
    <mergeCell ref="G32:H32"/>
    <mergeCell ref="D33:F33"/>
    <mergeCell ref="G33:H33"/>
    <mergeCell ref="D34:F34"/>
    <mergeCell ref="G34:H34"/>
    <mergeCell ref="D35:F35"/>
    <mergeCell ref="G35:H35"/>
    <mergeCell ref="D36:F36"/>
    <mergeCell ref="G36:H36"/>
    <mergeCell ref="D37:F37"/>
    <mergeCell ref="G37:H37"/>
    <mergeCell ref="D38:F38"/>
    <mergeCell ref="G38:H38"/>
    <mergeCell ref="D39:F39"/>
    <mergeCell ref="G39:H39"/>
    <mergeCell ref="D40:F40"/>
    <mergeCell ref="G40:H40"/>
    <mergeCell ref="D41:F41"/>
    <mergeCell ref="G41:H41"/>
    <mergeCell ref="D42:F42"/>
    <mergeCell ref="G42:H42"/>
    <mergeCell ref="D43:F43"/>
    <mergeCell ref="G43:H43"/>
    <mergeCell ref="D44:F44"/>
    <mergeCell ref="G44:H44"/>
    <mergeCell ref="D45:F45"/>
    <mergeCell ref="G45:H45"/>
    <mergeCell ref="D46:F46"/>
    <mergeCell ref="G46:H46"/>
    <mergeCell ref="D47:F47"/>
    <mergeCell ref="G47:H47"/>
    <mergeCell ref="D48:F48"/>
    <mergeCell ref="G48:H48"/>
    <mergeCell ref="D58:F58"/>
    <mergeCell ref="G58:H58"/>
    <mergeCell ref="D49:F49"/>
    <mergeCell ref="G49:H49"/>
    <mergeCell ref="D50:F50"/>
    <mergeCell ref="G50:H50"/>
    <mergeCell ref="D51:F51"/>
    <mergeCell ref="G51:H51"/>
    <mergeCell ref="D52:F52"/>
    <mergeCell ref="G52:H52"/>
    <mergeCell ref="D53:F53"/>
    <mergeCell ref="G53:H53"/>
    <mergeCell ref="A57:M57"/>
    <mergeCell ref="A63:J63"/>
    <mergeCell ref="D59:F59"/>
    <mergeCell ref="G59:H59"/>
    <mergeCell ref="D60:F60"/>
    <mergeCell ref="G60:H60"/>
    <mergeCell ref="A61:J61"/>
    <mergeCell ref="A62:J62"/>
  </mergeCells>
  <printOptions horizontalCentered="1"/>
  <pageMargins left="0.25" right="0.25" top="0.75" bottom="0.75" header="0.3" footer="0.3"/>
  <pageSetup scale="59" fitToHeight="0" orientation="landscape" r:id="rId1"/>
  <headerFooter>
    <oddHeader>&amp;C&amp;14COLLIN COUNTY - FY 2027 ROAD &amp; BRIDGE FUND BUILD-YOUR-OWN-BUDGET</oddHeader>
    <oddFooter>&amp;CPage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Title="Add to Recommended Budget?" prompt="Enter &quot;Yes&quot; to add to Recommended Budget. " xr:uid="{63077927-4514-41E2-A965-581A6316BE0C}">
          <x14:formula1>
            <xm:f>'General Fund'!$O$1:$O$2</xm:f>
          </x14:formula1>
          <xm:sqref>L59:L60 L5:L8 L13:L17 L22:L53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52856-E5E3-41A8-92EA-1D6CA321C8BC}">
  <sheetPr>
    <pageSetUpPr fitToPage="1"/>
  </sheetPr>
  <dimension ref="A1:M71"/>
  <sheetViews>
    <sheetView zoomScaleNormal="100" workbookViewId="0">
      <pane ySplit="2" topLeftCell="A3" activePane="bottomLeft" state="frozen"/>
      <selection pane="bottomLeft" activeCell="M5" sqref="M5"/>
    </sheetView>
  </sheetViews>
  <sheetFormatPr defaultColWidth="8.88671875" defaultRowHeight="14.4" x14ac:dyDescent="0.3"/>
  <cols>
    <col min="1" max="1" width="6" style="30" bestFit="1" customWidth="1"/>
    <col min="2" max="2" width="5" style="30" bestFit="1" customWidth="1"/>
    <col min="3" max="3" width="10.6640625" style="30" bestFit="1" customWidth="1"/>
    <col min="4" max="4" width="6.6640625" style="30" bestFit="1" customWidth="1"/>
    <col min="5" max="5" width="53.44140625" style="30" bestFit="1" customWidth="1"/>
    <col min="6" max="6" width="7.33203125" style="30" bestFit="1" customWidth="1"/>
    <col min="7" max="7" width="48" style="30" bestFit="1" customWidth="1"/>
    <col min="8" max="8" width="10.5546875" style="30" customWidth="1"/>
    <col min="9" max="9" width="13.5546875" style="30" bestFit="1" customWidth="1"/>
    <col min="10" max="10" width="11.33203125" style="30" bestFit="1" customWidth="1"/>
    <col min="11" max="11" width="13.5546875" style="30" bestFit="1" customWidth="1"/>
    <col min="12" max="12" width="9.109375" style="30" bestFit="1" customWidth="1"/>
    <col min="13" max="13" width="31.6640625" style="30" customWidth="1"/>
    <col min="14" max="16384" width="8.88671875" style="30"/>
  </cols>
  <sheetData>
    <row r="1" spans="1:13" ht="18" x14ac:dyDescent="0.35">
      <c r="A1" s="324" t="s">
        <v>284</v>
      </c>
      <c r="B1" s="325"/>
      <c r="C1" s="325"/>
      <c r="D1" s="325"/>
      <c r="E1" s="325"/>
      <c r="F1" s="325"/>
      <c r="G1" s="325"/>
      <c r="H1" s="325"/>
      <c r="I1" s="325"/>
      <c r="J1" s="325"/>
      <c r="K1" s="325"/>
      <c r="L1" s="325"/>
      <c r="M1" s="326"/>
    </row>
    <row r="2" spans="1:13" s="32" customFormat="1" ht="6" customHeight="1" x14ac:dyDescent="0.3">
      <c r="A2" s="74"/>
      <c r="B2" s="74"/>
      <c r="C2" s="74"/>
      <c r="D2" s="74"/>
      <c r="E2" s="75"/>
      <c r="F2" s="76"/>
      <c r="G2" s="75"/>
      <c r="H2" s="77"/>
      <c r="I2" s="78"/>
      <c r="J2" s="78"/>
      <c r="K2" s="78"/>
      <c r="L2" s="78"/>
      <c r="M2" s="78"/>
    </row>
    <row r="3" spans="1:13" ht="18" x14ac:dyDescent="0.35">
      <c r="A3" s="313" t="s">
        <v>274</v>
      </c>
      <c r="B3" s="314"/>
      <c r="C3" s="314"/>
      <c r="D3" s="314"/>
      <c r="E3" s="314"/>
      <c r="F3" s="314"/>
      <c r="G3" s="314"/>
      <c r="H3" s="314"/>
      <c r="I3" s="314"/>
      <c r="J3" s="314"/>
      <c r="K3" s="314"/>
      <c r="L3" s="314"/>
      <c r="M3" s="315"/>
    </row>
    <row r="4" spans="1:13" ht="31.8" x14ac:dyDescent="0.3">
      <c r="A4" s="34" t="s">
        <v>181</v>
      </c>
      <c r="B4" s="35" t="s">
        <v>21</v>
      </c>
      <c r="C4" s="35" t="s">
        <v>177</v>
      </c>
      <c r="D4" s="35" t="s">
        <v>22</v>
      </c>
      <c r="E4" s="36" t="s">
        <v>23</v>
      </c>
      <c r="F4" s="37" t="s">
        <v>180</v>
      </c>
      <c r="G4" s="36" t="s">
        <v>24</v>
      </c>
      <c r="H4" s="38" t="s">
        <v>26</v>
      </c>
      <c r="I4" s="39" t="s">
        <v>27</v>
      </c>
      <c r="J4" s="39" t="s">
        <v>28</v>
      </c>
      <c r="K4" s="39" t="s">
        <v>29</v>
      </c>
      <c r="L4" s="93" t="s">
        <v>178</v>
      </c>
      <c r="M4" s="40" t="s">
        <v>179</v>
      </c>
    </row>
    <row r="5" spans="1:13" x14ac:dyDescent="0.3">
      <c r="A5" s="41">
        <v>16</v>
      </c>
      <c r="B5" s="42" t="s">
        <v>59</v>
      </c>
      <c r="C5" s="43" t="s">
        <v>60</v>
      </c>
      <c r="D5" s="43">
        <v>1</v>
      </c>
      <c r="E5" s="44" t="s">
        <v>61</v>
      </c>
      <c r="F5" s="43">
        <v>1</v>
      </c>
      <c r="G5" s="44" t="s">
        <v>62</v>
      </c>
      <c r="H5" s="45" t="s">
        <v>34</v>
      </c>
      <c r="I5" s="46">
        <v>13868</v>
      </c>
      <c r="J5" s="47">
        <v>81780</v>
      </c>
      <c r="K5" s="46">
        <f t="shared" ref="K5:K7" si="0">I5+J5</f>
        <v>95648</v>
      </c>
      <c r="L5" s="83"/>
      <c r="M5" s="84"/>
    </row>
    <row r="6" spans="1:13" x14ac:dyDescent="0.3">
      <c r="A6" s="41">
        <v>17</v>
      </c>
      <c r="B6" s="42" t="s">
        <v>59</v>
      </c>
      <c r="C6" s="43" t="s">
        <v>60</v>
      </c>
      <c r="D6" s="43">
        <v>1</v>
      </c>
      <c r="E6" s="44" t="s">
        <v>61</v>
      </c>
      <c r="F6" s="43">
        <v>2</v>
      </c>
      <c r="G6" s="48" t="s">
        <v>63</v>
      </c>
      <c r="H6" s="45" t="s">
        <v>34</v>
      </c>
      <c r="I6" s="46">
        <v>12160</v>
      </c>
      <c r="J6" s="47">
        <v>163404</v>
      </c>
      <c r="K6" s="46">
        <f t="shared" si="0"/>
        <v>175564</v>
      </c>
      <c r="L6" s="83"/>
      <c r="M6" s="85"/>
    </row>
    <row r="7" spans="1:13" x14ac:dyDescent="0.3">
      <c r="A7" s="41">
        <v>18</v>
      </c>
      <c r="B7" s="42" t="s">
        <v>59</v>
      </c>
      <c r="C7" s="43" t="s">
        <v>60</v>
      </c>
      <c r="D7" s="43">
        <v>3</v>
      </c>
      <c r="E7" s="44" t="s">
        <v>61</v>
      </c>
      <c r="F7" s="43">
        <v>3</v>
      </c>
      <c r="G7" s="48" t="s">
        <v>91</v>
      </c>
      <c r="H7" s="45" t="s">
        <v>34</v>
      </c>
      <c r="I7" s="46">
        <v>6080</v>
      </c>
      <c r="J7" s="47">
        <v>100700</v>
      </c>
      <c r="K7" s="46">
        <f t="shared" si="0"/>
        <v>106780</v>
      </c>
      <c r="L7" s="83"/>
      <c r="M7" s="85"/>
    </row>
    <row r="8" spans="1:13" x14ac:dyDescent="0.3">
      <c r="A8" s="56"/>
      <c r="B8" s="56"/>
      <c r="C8" s="56"/>
      <c r="D8" s="56"/>
      <c r="E8" s="56"/>
      <c r="F8" s="56"/>
      <c r="G8" s="57" t="s">
        <v>190</v>
      </c>
      <c r="H8" s="56"/>
      <c r="I8" s="58">
        <f>SUMIF($L5:$L7,"YES",$I5:$I7)</f>
        <v>0</v>
      </c>
      <c r="J8" s="58">
        <f>SUMIF($L5:$L7,"YES",$J5:$J7)</f>
        <v>0</v>
      </c>
      <c r="K8" s="58">
        <f>SUMIF($L5:$L7,"YES",$K5:$K7)</f>
        <v>0</v>
      </c>
      <c r="L8" s="56"/>
      <c r="M8" s="56"/>
    </row>
    <row r="9" spans="1:13" x14ac:dyDescent="0.3">
      <c r="A9" s="79"/>
      <c r="B9" s="79"/>
      <c r="C9" s="79"/>
      <c r="D9" s="79"/>
      <c r="E9" s="79"/>
      <c r="F9" s="79"/>
      <c r="G9" s="79"/>
      <c r="H9" s="79"/>
      <c r="I9" s="79"/>
      <c r="J9" s="79"/>
      <c r="K9" s="79"/>
      <c r="L9" s="79"/>
      <c r="M9" s="79"/>
    </row>
    <row r="10" spans="1:13" ht="18" x14ac:dyDescent="0.35">
      <c r="A10" s="313" t="s">
        <v>275</v>
      </c>
      <c r="B10" s="314"/>
      <c r="C10" s="314"/>
      <c r="D10" s="314"/>
      <c r="E10" s="314"/>
      <c r="F10" s="314"/>
      <c r="G10" s="314"/>
      <c r="H10" s="314"/>
      <c r="I10" s="314"/>
      <c r="J10" s="314"/>
      <c r="K10" s="314"/>
      <c r="L10" s="314"/>
      <c r="M10" s="315"/>
    </row>
    <row r="11" spans="1:13" ht="27.6" x14ac:dyDescent="0.3">
      <c r="A11" s="34"/>
      <c r="B11" s="35" t="s">
        <v>21</v>
      </c>
      <c r="C11" s="35" t="s">
        <v>177</v>
      </c>
      <c r="D11" s="35"/>
      <c r="E11" s="36"/>
      <c r="F11" s="37"/>
      <c r="G11" s="316" t="s">
        <v>194</v>
      </c>
      <c r="H11" s="316"/>
      <c r="I11" s="39" t="s">
        <v>183</v>
      </c>
      <c r="J11" s="39" t="s">
        <v>184</v>
      </c>
      <c r="K11" s="39" t="s">
        <v>185</v>
      </c>
      <c r="L11" s="93" t="s">
        <v>178</v>
      </c>
      <c r="M11" s="40" t="s">
        <v>179</v>
      </c>
    </row>
    <row r="12" spans="1:13" ht="14.4" customHeight="1" x14ac:dyDescent="0.3">
      <c r="A12" s="52"/>
      <c r="B12" s="42" t="s">
        <v>59</v>
      </c>
      <c r="C12" s="59" t="s">
        <v>186</v>
      </c>
      <c r="D12" s="298" t="s">
        <v>262</v>
      </c>
      <c r="E12" s="299"/>
      <c r="F12" s="300"/>
      <c r="G12" s="301" t="s">
        <v>189</v>
      </c>
      <c r="H12" s="302"/>
      <c r="I12" s="46">
        <v>0</v>
      </c>
      <c r="J12" s="47">
        <v>173094</v>
      </c>
      <c r="K12" s="46">
        <f t="shared" ref="K12:K16" si="1">I12+J12</f>
        <v>173094</v>
      </c>
      <c r="L12" s="83"/>
      <c r="M12" s="85"/>
    </row>
    <row r="13" spans="1:13" x14ac:dyDescent="0.3">
      <c r="A13" s="41"/>
      <c r="B13" s="42" t="s">
        <v>59</v>
      </c>
      <c r="C13" s="59" t="s">
        <v>186</v>
      </c>
      <c r="D13" s="298" t="s">
        <v>262</v>
      </c>
      <c r="E13" s="299"/>
      <c r="F13" s="300"/>
      <c r="G13" s="301" t="s">
        <v>187</v>
      </c>
      <c r="H13" s="302"/>
      <c r="I13" s="46">
        <v>0</v>
      </c>
      <c r="J13" s="47">
        <v>0</v>
      </c>
      <c r="K13" s="46">
        <f t="shared" si="1"/>
        <v>0</v>
      </c>
      <c r="L13" s="83"/>
      <c r="M13" s="84"/>
    </row>
    <row r="14" spans="1:13" x14ac:dyDescent="0.3">
      <c r="A14" s="41"/>
      <c r="B14" s="42" t="s">
        <v>59</v>
      </c>
      <c r="C14" s="59" t="s">
        <v>186</v>
      </c>
      <c r="D14" s="298" t="s">
        <v>262</v>
      </c>
      <c r="E14" s="299"/>
      <c r="F14" s="300"/>
      <c r="G14" s="301" t="s">
        <v>188</v>
      </c>
      <c r="H14" s="302"/>
      <c r="I14" s="46">
        <v>0</v>
      </c>
      <c r="J14" s="47">
        <v>131688</v>
      </c>
      <c r="K14" s="46">
        <f t="shared" si="1"/>
        <v>131688</v>
      </c>
      <c r="L14" s="83"/>
      <c r="M14" s="84"/>
    </row>
    <row r="15" spans="1:13" x14ac:dyDescent="0.3">
      <c r="A15" s="41"/>
      <c r="B15" s="42"/>
      <c r="C15" s="43"/>
      <c r="D15" s="329"/>
      <c r="E15" s="299"/>
      <c r="F15" s="300"/>
      <c r="G15" s="301"/>
      <c r="H15" s="302"/>
      <c r="I15" s="46"/>
      <c r="J15" s="47"/>
      <c r="K15" s="46">
        <f t="shared" si="1"/>
        <v>0</v>
      </c>
      <c r="L15" s="83"/>
      <c r="M15" s="85"/>
    </row>
    <row r="16" spans="1:13" x14ac:dyDescent="0.3">
      <c r="A16" s="41"/>
      <c r="B16" s="42"/>
      <c r="C16" s="43"/>
      <c r="D16" s="329"/>
      <c r="E16" s="299"/>
      <c r="F16" s="300"/>
      <c r="G16" s="301"/>
      <c r="H16" s="302"/>
      <c r="I16" s="46"/>
      <c r="J16" s="47"/>
      <c r="K16" s="46">
        <f t="shared" si="1"/>
        <v>0</v>
      </c>
      <c r="L16" s="83"/>
      <c r="M16" s="85"/>
    </row>
    <row r="17" spans="1:13" x14ac:dyDescent="0.3">
      <c r="A17" s="56"/>
      <c r="B17" s="56"/>
      <c r="C17" s="56"/>
      <c r="D17" s="56"/>
      <c r="E17" s="56"/>
      <c r="F17" s="56"/>
      <c r="G17" s="57" t="s">
        <v>191</v>
      </c>
      <c r="H17" s="56"/>
      <c r="I17" s="58">
        <f>SUMIF($L12:$L16,"YES",$I12:$I16)</f>
        <v>0</v>
      </c>
      <c r="J17" s="58">
        <f>SUMIF($L12:$L16,"YES",$J12:$J16)</f>
        <v>0</v>
      </c>
      <c r="K17" s="58">
        <f>SUMIF($L12:$L16,"YES",$K12:$K16)</f>
        <v>0</v>
      </c>
      <c r="L17" s="56"/>
      <c r="M17" s="56"/>
    </row>
    <row r="18" spans="1:13" x14ac:dyDescent="0.3">
      <c r="A18" s="79"/>
      <c r="B18" s="79"/>
      <c r="C18" s="79"/>
      <c r="D18" s="79"/>
      <c r="E18" s="79"/>
      <c r="F18" s="79"/>
      <c r="G18" s="79"/>
      <c r="H18" s="79"/>
      <c r="I18" s="79"/>
      <c r="J18" s="79"/>
      <c r="K18" s="79"/>
      <c r="L18" s="79"/>
      <c r="M18" s="79"/>
    </row>
    <row r="19" spans="1:13" ht="18" x14ac:dyDescent="0.35">
      <c r="A19" s="313" t="s">
        <v>276</v>
      </c>
      <c r="B19" s="314"/>
      <c r="C19" s="314"/>
      <c r="D19" s="314"/>
      <c r="E19" s="314"/>
      <c r="F19" s="314"/>
      <c r="G19" s="314"/>
      <c r="H19" s="314"/>
      <c r="I19" s="314"/>
      <c r="J19" s="314"/>
      <c r="K19" s="314"/>
      <c r="L19" s="314"/>
      <c r="M19" s="315"/>
    </row>
    <row r="20" spans="1:13" ht="27.6" x14ac:dyDescent="0.3">
      <c r="A20" s="34"/>
      <c r="B20" s="35" t="s">
        <v>21</v>
      </c>
      <c r="C20" s="35" t="s">
        <v>177</v>
      </c>
      <c r="D20" s="316" t="s">
        <v>23</v>
      </c>
      <c r="E20" s="316"/>
      <c r="F20" s="316"/>
      <c r="G20" s="316" t="s">
        <v>194</v>
      </c>
      <c r="H20" s="316"/>
      <c r="I20" s="39" t="s">
        <v>183</v>
      </c>
      <c r="J20" s="39" t="s">
        <v>184</v>
      </c>
      <c r="K20" s="39" t="s">
        <v>185</v>
      </c>
      <c r="L20" s="93" t="s">
        <v>178</v>
      </c>
      <c r="M20" s="40" t="s">
        <v>179</v>
      </c>
    </row>
    <row r="21" spans="1:13" x14ac:dyDescent="0.3">
      <c r="A21" s="52"/>
      <c r="B21" s="42" t="s">
        <v>59</v>
      </c>
      <c r="C21" s="59" t="s">
        <v>186</v>
      </c>
      <c r="D21" s="298" t="s">
        <v>262</v>
      </c>
      <c r="E21" s="299"/>
      <c r="F21" s="300"/>
      <c r="G21" s="301" t="s">
        <v>193</v>
      </c>
      <c r="H21" s="302"/>
      <c r="I21" s="46"/>
      <c r="J21" s="47"/>
      <c r="K21" s="46">
        <v>6937391</v>
      </c>
      <c r="L21" s="45" t="s">
        <v>182</v>
      </c>
      <c r="M21" s="85"/>
    </row>
    <row r="22" spans="1:13" x14ac:dyDescent="0.3">
      <c r="A22" s="41"/>
      <c r="B22" s="42" t="s">
        <v>59</v>
      </c>
      <c r="C22" s="59" t="s">
        <v>186</v>
      </c>
      <c r="D22" s="298" t="s">
        <v>262</v>
      </c>
      <c r="E22" s="299"/>
      <c r="F22" s="300"/>
      <c r="G22" s="301" t="s">
        <v>195</v>
      </c>
      <c r="H22" s="302"/>
      <c r="I22" s="46">
        <f>I8</f>
        <v>0</v>
      </c>
      <c r="J22" s="47">
        <f>J8</f>
        <v>0</v>
      </c>
      <c r="K22" s="46">
        <f t="shared" ref="K22:K42" si="2">I22+J22</f>
        <v>0</v>
      </c>
      <c r="L22" s="45" t="s">
        <v>182</v>
      </c>
      <c r="M22" s="84"/>
    </row>
    <row r="23" spans="1:13" x14ac:dyDescent="0.3">
      <c r="A23" s="41"/>
      <c r="B23" s="42" t="s">
        <v>59</v>
      </c>
      <c r="C23" s="59" t="s">
        <v>186</v>
      </c>
      <c r="D23" s="298" t="s">
        <v>262</v>
      </c>
      <c r="E23" s="299"/>
      <c r="F23" s="300"/>
      <c r="G23" s="301" t="s">
        <v>196</v>
      </c>
      <c r="H23" s="302"/>
      <c r="I23" s="46">
        <f>I17</f>
        <v>0</v>
      </c>
      <c r="J23" s="47">
        <f>J17</f>
        <v>0</v>
      </c>
      <c r="K23" s="46">
        <f t="shared" si="2"/>
        <v>0</v>
      </c>
      <c r="L23" s="45" t="s">
        <v>182</v>
      </c>
      <c r="M23" s="84"/>
    </row>
    <row r="24" spans="1:13" x14ac:dyDescent="0.3">
      <c r="A24" s="41"/>
      <c r="B24" s="42" t="s">
        <v>59</v>
      </c>
      <c r="C24" s="87"/>
      <c r="D24" s="330"/>
      <c r="E24" s="319"/>
      <c r="F24" s="320"/>
      <c r="G24" s="321"/>
      <c r="H24" s="323"/>
      <c r="I24" s="88"/>
      <c r="J24" s="89"/>
      <c r="K24" s="46">
        <f t="shared" si="2"/>
        <v>0</v>
      </c>
      <c r="L24" s="83"/>
      <c r="M24" s="85"/>
    </row>
    <row r="25" spans="1:13" x14ac:dyDescent="0.3">
      <c r="A25" s="41"/>
      <c r="B25" s="42" t="s">
        <v>59</v>
      </c>
      <c r="C25" s="87"/>
      <c r="D25" s="330"/>
      <c r="E25" s="319"/>
      <c r="F25" s="320"/>
      <c r="G25" s="321"/>
      <c r="H25" s="323"/>
      <c r="I25" s="88"/>
      <c r="J25" s="89"/>
      <c r="K25" s="46">
        <f t="shared" si="2"/>
        <v>0</v>
      </c>
      <c r="L25" s="83"/>
      <c r="M25" s="85"/>
    </row>
    <row r="26" spans="1:13" x14ac:dyDescent="0.3">
      <c r="A26" s="52"/>
      <c r="B26" s="42" t="s">
        <v>59</v>
      </c>
      <c r="C26" s="87"/>
      <c r="D26" s="330"/>
      <c r="E26" s="319"/>
      <c r="F26" s="320"/>
      <c r="G26" s="321"/>
      <c r="H26" s="323"/>
      <c r="I26" s="88"/>
      <c r="J26" s="89"/>
      <c r="K26" s="46">
        <f t="shared" si="2"/>
        <v>0</v>
      </c>
      <c r="L26" s="83"/>
      <c r="M26" s="85"/>
    </row>
    <row r="27" spans="1:13" x14ac:dyDescent="0.3">
      <c r="A27" s="41"/>
      <c r="B27" s="42" t="s">
        <v>59</v>
      </c>
      <c r="C27" s="87"/>
      <c r="D27" s="330"/>
      <c r="E27" s="319"/>
      <c r="F27" s="320"/>
      <c r="G27" s="321"/>
      <c r="H27" s="323"/>
      <c r="I27" s="88"/>
      <c r="J27" s="89"/>
      <c r="K27" s="46">
        <f t="shared" si="2"/>
        <v>0</v>
      </c>
      <c r="L27" s="83"/>
      <c r="M27" s="84"/>
    </row>
    <row r="28" spans="1:13" x14ac:dyDescent="0.3">
      <c r="A28" s="41"/>
      <c r="B28" s="42" t="s">
        <v>59</v>
      </c>
      <c r="C28" s="87"/>
      <c r="D28" s="330"/>
      <c r="E28" s="319"/>
      <c r="F28" s="320"/>
      <c r="G28" s="321"/>
      <c r="H28" s="323"/>
      <c r="I28" s="88"/>
      <c r="J28" s="89"/>
      <c r="K28" s="46">
        <f t="shared" si="2"/>
        <v>0</v>
      </c>
      <c r="L28" s="83"/>
      <c r="M28" s="84"/>
    </row>
    <row r="29" spans="1:13" x14ac:dyDescent="0.3">
      <c r="A29" s="41"/>
      <c r="B29" s="42" t="s">
        <v>59</v>
      </c>
      <c r="C29" s="87"/>
      <c r="D29" s="330"/>
      <c r="E29" s="319"/>
      <c r="F29" s="320"/>
      <c r="G29" s="321"/>
      <c r="H29" s="323"/>
      <c r="I29" s="88"/>
      <c r="J29" s="89"/>
      <c r="K29" s="46">
        <f t="shared" si="2"/>
        <v>0</v>
      </c>
      <c r="L29" s="83"/>
      <c r="M29" s="85"/>
    </row>
    <row r="30" spans="1:13" x14ac:dyDescent="0.3">
      <c r="A30" s="52"/>
      <c r="B30" s="42" t="s">
        <v>59</v>
      </c>
      <c r="C30" s="87"/>
      <c r="D30" s="330"/>
      <c r="E30" s="319"/>
      <c r="F30" s="320"/>
      <c r="G30" s="321"/>
      <c r="H30" s="323"/>
      <c r="I30" s="88"/>
      <c r="J30" s="89"/>
      <c r="K30" s="46">
        <f t="shared" si="2"/>
        <v>0</v>
      </c>
      <c r="L30" s="83"/>
      <c r="M30" s="85"/>
    </row>
    <row r="31" spans="1:13" x14ac:dyDescent="0.3">
      <c r="A31" s="41"/>
      <c r="B31" s="42" t="s">
        <v>59</v>
      </c>
      <c r="C31" s="87"/>
      <c r="D31" s="330"/>
      <c r="E31" s="319"/>
      <c r="F31" s="320"/>
      <c r="G31" s="321"/>
      <c r="H31" s="323"/>
      <c r="I31" s="88"/>
      <c r="J31" s="89"/>
      <c r="K31" s="46">
        <f t="shared" si="2"/>
        <v>0</v>
      </c>
      <c r="L31" s="83"/>
      <c r="M31" s="85"/>
    </row>
    <row r="32" spans="1:13" x14ac:dyDescent="0.3">
      <c r="A32" s="41"/>
      <c r="B32" s="42" t="s">
        <v>59</v>
      </c>
      <c r="C32" s="87"/>
      <c r="D32" s="330"/>
      <c r="E32" s="319"/>
      <c r="F32" s="320"/>
      <c r="G32" s="321"/>
      <c r="H32" s="323"/>
      <c r="I32" s="88"/>
      <c r="J32" s="89"/>
      <c r="K32" s="46">
        <f t="shared" si="2"/>
        <v>0</v>
      </c>
      <c r="L32" s="83"/>
      <c r="M32" s="85"/>
    </row>
    <row r="33" spans="1:13" x14ac:dyDescent="0.3">
      <c r="A33" s="41"/>
      <c r="B33" s="42" t="s">
        <v>59</v>
      </c>
      <c r="C33" s="87"/>
      <c r="D33" s="330"/>
      <c r="E33" s="319"/>
      <c r="F33" s="320"/>
      <c r="G33" s="321"/>
      <c r="H33" s="323"/>
      <c r="I33" s="88"/>
      <c r="J33" s="89"/>
      <c r="K33" s="46">
        <f t="shared" si="2"/>
        <v>0</v>
      </c>
      <c r="L33" s="83"/>
      <c r="M33" s="85"/>
    </row>
    <row r="34" spans="1:13" x14ac:dyDescent="0.3">
      <c r="A34" s="41"/>
      <c r="B34" s="42" t="s">
        <v>59</v>
      </c>
      <c r="C34" s="87"/>
      <c r="D34" s="330"/>
      <c r="E34" s="319"/>
      <c r="F34" s="320"/>
      <c r="G34" s="321"/>
      <c r="H34" s="323"/>
      <c r="I34" s="88"/>
      <c r="J34" s="89"/>
      <c r="K34" s="46">
        <f t="shared" si="2"/>
        <v>0</v>
      </c>
      <c r="L34" s="83"/>
      <c r="M34" s="85"/>
    </row>
    <row r="35" spans="1:13" x14ac:dyDescent="0.3">
      <c r="A35" s="41"/>
      <c r="B35" s="42" t="s">
        <v>59</v>
      </c>
      <c r="C35" s="87"/>
      <c r="D35" s="330"/>
      <c r="E35" s="319"/>
      <c r="F35" s="320"/>
      <c r="G35" s="321"/>
      <c r="H35" s="323"/>
      <c r="I35" s="88"/>
      <c r="J35" s="89"/>
      <c r="K35" s="46">
        <f t="shared" si="2"/>
        <v>0</v>
      </c>
      <c r="L35" s="83"/>
      <c r="M35" s="85"/>
    </row>
    <row r="36" spans="1:13" x14ac:dyDescent="0.3">
      <c r="A36" s="41"/>
      <c r="B36" s="42" t="s">
        <v>59</v>
      </c>
      <c r="C36" s="87"/>
      <c r="D36" s="330"/>
      <c r="E36" s="319"/>
      <c r="F36" s="320"/>
      <c r="G36" s="321"/>
      <c r="H36" s="323"/>
      <c r="I36" s="88"/>
      <c r="J36" s="89"/>
      <c r="K36" s="46">
        <f t="shared" si="2"/>
        <v>0</v>
      </c>
      <c r="L36" s="83"/>
      <c r="M36" s="85"/>
    </row>
    <row r="37" spans="1:13" x14ac:dyDescent="0.3">
      <c r="A37" s="52"/>
      <c r="B37" s="42" t="s">
        <v>59</v>
      </c>
      <c r="C37" s="87"/>
      <c r="D37" s="330"/>
      <c r="E37" s="319"/>
      <c r="F37" s="320"/>
      <c r="G37" s="321"/>
      <c r="H37" s="323"/>
      <c r="I37" s="88"/>
      <c r="J37" s="89"/>
      <c r="K37" s="46">
        <f t="shared" si="2"/>
        <v>0</v>
      </c>
      <c r="L37" s="83"/>
      <c r="M37" s="85"/>
    </row>
    <row r="38" spans="1:13" x14ac:dyDescent="0.3">
      <c r="A38" s="41"/>
      <c r="B38" s="42" t="s">
        <v>59</v>
      </c>
      <c r="C38" s="87"/>
      <c r="D38" s="330"/>
      <c r="E38" s="319"/>
      <c r="F38" s="320"/>
      <c r="G38" s="321"/>
      <c r="H38" s="323"/>
      <c r="I38" s="88"/>
      <c r="J38" s="89"/>
      <c r="K38" s="46">
        <f t="shared" si="2"/>
        <v>0</v>
      </c>
      <c r="L38" s="83"/>
      <c r="M38" s="84"/>
    </row>
    <row r="39" spans="1:13" x14ac:dyDescent="0.3">
      <c r="A39" s="41"/>
      <c r="B39" s="42" t="s">
        <v>59</v>
      </c>
      <c r="C39" s="87"/>
      <c r="D39" s="330"/>
      <c r="E39" s="319"/>
      <c r="F39" s="320"/>
      <c r="G39" s="321"/>
      <c r="H39" s="323"/>
      <c r="I39" s="88"/>
      <c r="J39" s="89"/>
      <c r="K39" s="46">
        <f t="shared" si="2"/>
        <v>0</v>
      </c>
      <c r="L39" s="83"/>
      <c r="M39" s="84"/>
    </row>
    <row r="40" spans="1:13" x14ac:dyDescent="0.3">
      <c r="A40" s="41"/>
      <c r="B40" s="42" t="s">
        <v>59</v>
      </c>
      <c r="C40" s="87"/>
      <c r="D40" s="330"/>
      <c r="E40" s="319"/>
      <c r="F40" s="320"/>
      <c r="G40" s="321"/>
      <c r="H40" s="323"/>
      <c r="I40" s="88"/>
      <c r="J40" s="89"/>
      <c r="K40" s="46">
        <f t="shared" si="2"/>
        <v>0</v>
      </c>
      <c r="L40" s="83"/>
      <c r="M40" s="85"/>
    </row>
    <row r="41" spans="1:13" x14ac:dyDescent="0.3">
      <c r="A41" s="41"/>
      <c r="B41" s="42" t="s">
        <v>59</v>
      </c>
      <c r="C41" s="87"/>
      <c r="D41" s="330"/>
      <c r="E41" s="319"/>
      <c r="F41" s="320"/>
      <c r="G41" s="321"/>
      <c r="H41" s="323"/>
      <c r="I41" s="88"/>
      <c r="J41" s="89"/>
      <c r="K41" s="46">
        <f t="shared" si="2"/>
        <v>0</v>
      </c>
      <c r="L41" s="83"/>
      <c r="M41" s="85"/>
    </row>
    <row r="42" spans="1:13" x14ac:dyDescent="0.3">
      <c r="A42" s="41"/>
      <c r="B42" s="42" t="s">
        <v>59</v>
      </c>
      <c r="C42" s="87"/>
      <c r="D42" s="330"/>
      <c r="E42" s="319"/>
      <c r="F42" s="320"/>
      <c r="G42" s="321"/>
      <c r="H42" s="323"/>
      <c r="I42" s="88"/>
      <c r="J42" s="89"/>
      <c r="K42" s="46">
        <f t="shared" si="2"/>
        <v>0</v>
      </c>
      <c r="L42" s="83"/>
      <c r="M42" s="85"/>
    </row>
    <row r="43" spans="1:13" x14ac:dyDescent="0.3">
      <c r="A43" s="56"/>
      <c r="B43" s="56"/>
      <c r="C43" s="56"/>
      <c r="D43" s="56"/>
      <c r="E43" s="56"/>
      <c r="F43" s="56"/>
      <c r="G43" s="57" t="s">
        <v>264</v>
      </c>
      <c r="H43" s="56"/>
      <c r="I43" s="58">
        <f>SUMIF($L21:$L42,"YES",$I21:$I42)</f>
        <v>0</v>
      </c>
      <c r="J43" s="58">
        <f>SUMIF($L21:$L42,"YES",$J21:$J42)</f>
        <v>0</v>
      </c>
      <c r="K43" s="58">
        <f>SUMIF($L21:$L42,"YES",$K21:$K42)</f>
        <v>6937391</v>
      </c>
      <c r="L43" s="56"/>
      <c r="M43" s="56"/>
    </row>
    <row r="44" spans="1:13" x14ac:dyDescent="0.3">
      <c r="A44" s="79"/>
      <c r="B44" s="79"/>
      <c r="C44" s="79"/>
      <c r="D44" s="79"/>
      <c r="E44" s="79"/>
      <c r="F44" s="79"/>
      <c r="G44" s="79"/>
      <c r="H44" s="79"/>
      <c r="I44" s="79"/>
      <c r="J44" s="79"/>
      <c r="K44" s="79"/>
      <c r="L44" s="79"/>
      <c r="M44" s="79"/>
    </row>
    <row r="45" spans="1:13" x14ac:dyDescent="0.3">
      <c r="A45" s="79"/>
      <c r="B45" s="79"/>
      <c r="C45" s="79"/>
      <c r="D45" s="79"/>
      <c r="E45" s="79"/>
      <c r="F45" s="79"/>
      <c r="G45" s="79"/>
      <c r="H45" s="79"/>
      <c r="I45" s="79"/>
      <c r="J45" s="79"/>
      <c r="K45" s="79"/>
      <c r="L45" s="79"/>
      <c r="M45" s="79"/>
    </row>
    <row r="46" spans="1:13" ht="18" x14ac:dyDescent="0.35">
      <c r="A46" s="303" t="s">
        <v>287</v>
      </c>
      <c r="B46" s="304"/>
      <c r="C46" s="304"/>
      <c r="D46" s="304"/>
      <c r="E46" s="304"/>
      <c r="F46" s="304"/>
      <c r="G46" s="304"/>
      <c r="H46" s="304"/>
      <c r="I46" s="304"/>
      <c r="J46" s="304"/>
      <c r="K46" s="304"/>
      <c r="L46" s="304"/>
      <c r="M46" s="305"/>
    </row>
    <row r="47" spans="1:13" ht="36.6" customHeight="1" x14ac:dyDescent="0.3">
      <c r="A47" s="60"/>
      <c r="B47" s="61" t="s">
        <v>21</v>
      </c>
      <c r="C47" s="61" t="s">
        <v>177</v>
      </c>
      <c r="D47" s="306" t="s">
        <v>23</v>
      </c>
      <c r="E47" s="306"/>
      <c r="F47" s="306"/>
      <c r="G47" s="306" t="s">
        <v>194</v>
      </c>
      <c r="H47" s="306"/>
      <c r="I47" s="62"/>
      <c r="J47" s="62"/>
      <c r="K47" s="62" t="s">
        <v>236</v>
      </c>
      <c r="L47" s="93" t="s">
        <v>178</v>
      </c>
      <c r="M47" s="63" t="s">
        <v>179</v>
      </c>
    </row>
    <row r="48" spans="1:13" ht="25.2" customHeight="1" x14ac:dyDescent="0.3">
      <c r="A48" s="41"/>
      <c r="B48" s="42" t="s">
        <v>59</v>
      </c>
      <c r="C48" s="59" t="s">
        <v>186</v>
      </c>
      <c r="D48" s="298" t="s">
        <v>262</v>
      </c>
      <c r="E48" s="299"/>
      <c r="F48" s="300"/>
      <c r="G48" s="301" t="s">
        <v>233</v>
      </c>
      <c r="H48" s="302"/>
      <c r="I48" s="64"/>
      <c r="J48" s="46"/>
      <c r="K48" s="46">
        <v>1740800</v>
      </c>
      <c r="L48" s="45" t="s">
        <v>182</v>
      </c>
      <c r="M48" s="84"/>
    </row>
    <row r="49" spans="1:13" x14ac:dyDescent="0.3">
      <c r="A49" s="41"/>
      <c r="B49" s="42" t="s">
        <v>59</v>
      </c>
      <c r="C49" s="59" t="s">
        <v>186</v>
      </c>
      <c r="D49" s="298" t="s">
        <v>262</v>
      </c>
      <c r="E49" s="299"/>
      <c r="F49" s="300"/>
      <c r="G49" s="301" t="s">
        <v>259</v>
      </c>
      <c r="H49" s="302"/>
      <c r="I49" s="65"/>
      <c r="J49" s="47"/>
      <c r="K49" s="46">
        <v>5000000</v>
      </c>
      <c r="L49" s="45" t="s">
        <v>182</v>
      </c>
      <c r="M49" s="94"/>
    </row>
    <row r="50" spans="1:13" x14ac:dyDescent="0.3">
      <c r="A50" s="296" t="s">
        <v>265</v>
      </c>
      <c r="B50" s="296"/>
      <c r="C50" s="296"/>
      <c r="D50" s="296"/>
      <c r="E50" s="296"/>
      <c r="F50" s="296"/>
      <c r="G50" s="296"/>
      <c r="H50" s="296"/>
      <c r="I50" s="296"/>
      <c r="J50" s="296"/>
      <c r="K50" s="66">
        <f>SUMIF($L48:$L49,"YES",$K48:$K49)</f>
        <v>6740800</v>
      </c>
      <c r="L50" s="67"/>
      <c r="M50" s="67"/>
    </row>
    <row r="51" spans="1:13" ht="15" thickBot="1" x14ac:dyDescent="0.35">
      <c r="A51" s="297" t="s">
        <v>264</v>
      </c>
      <c r="B51" s="297"/>
      <c r="C51" s="297"/>
      <c r="D51" s="297"/>
      <c r="E51" s="297"/>
      <c r="F51" s="297"/>
      <c r="G51" s="297"/>
      <c r="H51" s="297"/>
      <c r="I51" s="297"/>
      <c r="J51" s="297"/>
      <c r="K51" s="68">
        <f>K43</f>
        <v>6937391</v>
      </c>
      <c r="L51" s="56"/>
      <c r="M51" s="56"/>
    </row>
    <row r="52" spans="1:13" s="32" customFormat="1" ht="15" thickBot="1" x14ac:dyDescent="0.35">
      <c r="A52" s="307" t="str">
        <f>IF(K52&lt;0,"YOUR BUDGET EXCEEDS THE AVAILABLE REVENUE.",(IF(K52=0,"CONGRATULATIONS! YOU BALANCED YOUR BUDGET.","YOUR REVENUES EXCEED EXPENDITURES.  YOU CAN ADD MORE TO THE BUDGET.")))</f>
        <v>YOUR BUDGET EXCEEDS THE AVAILABLE REVENUE.</v>
      </c>
      <c r="B52" s="308"/>
      <c r="C52" s="308"/>
      <c r="D52" s="308"/>
      <c r="E52" s="308"/>
      <c r="F52" s="308"/>
      <c r="G52" s="308"/>
      <c r="H52" s="308"/>
      <c r="I52" s="308"/>
      <c r="J52" s="308"/>
      <c r="K52" s="69">
        <f>K50-K51</f>
        <v>-196591</v>
      </c>
      <c r="L52" s="70"/>
      <c r="M52" s="71"/>
    </row>
    <row r="53" spans="1:13" x14ac:dyDescent="0.3">
      <c r="A53" s="79"/>
      <c r="B53" s="79"/>
      <c r="C53" s="79"/>
      <c r="D53" s="79"/>
      <c r="E53" s="79"/>
      <c r="F53" s="79"/>
      <c r="G53" s="79"/>
      <c r="H53" s="79"/>
      <c r="I53" s="79"/>
      <c r="J53" s="79"/>
      <c r="K53" s="79"/>
      <c r="L53" s="79"/>
      <c r="M53" s="79"/>
    </row>
    <row r="54" spans="1:13" x14ac:dyDescent="0.3">
      <c r="A54" s="79"/>
      <c r="B54" s="79"/>
      <c r="C54" s="79"/>
      <c r="D54" s="79"/>
      <c r="E54" s="79"/>
      <c r="F54" s="79"/>
      <c r="G54" s="79"/>
      <c r="H54" s="79"/>
      <c r="I54" s="79"/>
      <c r="J54" s="79"/>
      <c r="K54" s="79"/>
      <c r="L54" s="79"/>
      <c r="M54" s="79"/>
    </row>
    <row r="55" spans="1:13" x14ac:dyDescent="0.3">
      <c r="A55" s="79"/>
      <c r="B55" s="79"/>
      <c r="C55" s="79"/>
      <c r="D55" s="79"/>
      <c r="E55" s="79"/>
      <c r="F55" s="79"/>
      <c r="G55" s="79"/>
      <c r="H55" s="79"/>
      <c r="I55" s="79"/>
      <c r="J55" s="79"/>
      <c r="K55" s="79"/>
      <c r="L55" s="79"/>
      <c r="M55" s="79"/>
    </row>
    <row r="56" spans="1:13" x14ac:dyDescent="0.3">
      <c r="A56" s="79"/>
      <c r="B56" s="79"/>
      <c r="C56" s="79"/>
      <c r="D56" s="79"/>
      <c r="E56" s="79"/>
      <c r="F56" s="79"/>
      <c r="G56" s="79"/>
      <c r="H56" s="79"/>
      <c r="I56" s="79"/>
      <c r="J56" s="79"/>
      <c r="K56" s="79"/>
      <c r="L56" s="79"/>
      <c r="M56" s="79"/>
    </row>
    <row r="57" spans="1:13" x14ac:dyDescent="0.3">
      <c r="A57" s="79"/>
      <c r="B57" s="79"/>
      <c r="C57" s="79"/>
      <c r="D57" s="79"/>
      <c r="E57" s="79"/>
      <c r="F57" s="79"/>
      <c r="G57" s="79"/>
      <c r="H57" s="79"/>
      <c r="I57" s="79"/>
      <c r="J57" s="79"/>
      <c r="K57" s="79"/>
      <c r="L57" s="79"/>
      <c r="M57" s="79"/>
    </row>
    <row r="58" spans="1:13" x14ac:dyDescent="0.3">
      <c r="A58" s="79"/>
      <c r="B58" s="79"/>
      <c r="C58" s="79"/>
      <c r="D58" s="79"/>
      <c r="E58" s="79"/>
      <c r="F58" s="79"/>
      <c r="G58" s="79"/>
      <c r="H58" s="79"/>
      <c r="I58" s="79"/>
      <c r="J58" s="79"/>
      <c r="K58" s="79"/>
      <c r="L58" s="79"/>
      <c r="M58" s="79"/>
    </row>
    <row r="59" spans="1:13" x14ac:dyDescent="0.3">
      <c r="A59" s="79"/>
      <c r="B59" s="79"/>
      <c r="C59" s="79"/>
      <c r="D59" s="79"/>
      <c r="E59" s="79"/>
      <c r="F59" s="79"/>
      <c r="G59" s="79"/>
      <c r="H59" s="79"/>
      <c r="I59" s="79"/>
      <c r="J59" s="79"/>
      <c r="K59" s="79"/>
      <c r="L59" s="79"/>
      <c r="M59" s="79"/>
    </row>
    <row r="60" spans="1:13" x14ac:dyDescent="0.3">
      <c r="A60" s="79"/>
      <c r="B60" s="79"/>
      <c r="C60" s="79"/>
      <c r="D60" s="79"/>
      <c r="E60" s="79"/>
      <c r="F60" s="79"/>
      <c r="G60" s="79"/>
      <c r="H60" s="79"/>
      <c r="I60" s="79"/>
      <c r="J60" s="79"/>
      <c r="K60" s="79"/>
      <c r="L60" s="79"/>
      <c r="M60" s="79"/>
    </row>
    <row r="61" spans="1:13" x14ac:dyDescent="0.3">
      <c r="A61" s="79"/>
      <c r="B61" s="79"/>
      <c r="C61" s="79"/>
      <c r="D61" s="79"/>
      <c r="E61" s="79"/>
      <c r="F61" s="79"/>
      <c r="G61" s="79"/>
      <c r="H61" s="79"/>
      <c r="I61" s="79"/>
      <c r="J61" s="79"/>
      <c r="K61" s="79"/>
      <c r="L61" s="79"/>
      <c r="M61" s="79"/>
    </row>
    <row r="62" spans="1:13" x14ac:dyDescent="0.3">
      <c r="A62" s="79"/>
      <c r="B62" s="79"/>
      <c r="C62" s="79"/>
      <c r="D62" s="79"/>
      <c r="E62" s="79"/>
      <c r="F62" s="79"/>
      <c r="G62" s="79"/>
      <c r="H62" s="79"/>
      <c r="I62" s="79"/>
      <c r="J62" s="79"/>
      <c r="K62" s="79"/>
      <c r="L62" s="79"/>
      <c r="M62" s="79"/>
    </row>
    <row r="63" spans="1:13" x14ac:dyDescent="0.3">
      <c r="A63" s="79"/>
      <c r="B63" s="79"/>
      <c r="C63" s="79"/>
      <c r="D63" s="79"/>
      <c r="E63" s="79"/>
      <c r="F63" s="79"/>
      <c r="G63" s="79"/>
      <c r="H63" s="79"/>
      <c r="I63" s="79"/>
      <c r="J63" s="79"/>
      <c r="K63" s="79"/>
      <c r="L63" s="79"/>
      <c r="M63" s="79"/>
    </row>
    <row r="64" spans="1:13" x14ac:dyDescent="0.3">
      <c r="A64" s="79"/>
      <c r="B64" s="79"/>
      <c r="C64" s="79"/>
      <c r="D64" s="79"/>
      <c r="E64" s="79"/>
      <c r="F64" s="79"/>
      <c r="G64" s="79"/>
      <c r="H64" s="79"/>
      <c r="I64" s="79"/>
      <c r="J64" s="79"/>
      <c r="K64" s="79"/>
      <c r="L64" s="79"/>
      <c r="M64" s="79"/>
    </row>
    <row r="65" spans="1:13" x14ac:dyDescent="0.3">
      <c r="A65" s="79"/>
      <c r="B65" s="79"/>
      <c r="C65" s="79"/>
      <c r="D65" s="79"/>
      <c r="E65" s="79"/>
      <c r="F65" s="79"/>
      <c r="G65" s="79"/>
      <c r="H65" s="79"/>
      <c r="I65" s="79"/>
      <c r="J65" s="79"/>
      <c r="K65" s="79"/>
      <c r="L65" s="79"/>
      <c r="M65" s="79"/>
    </row>
    <row r="66" spans="1:13" x14ac:dyDescent="0.3">
      <c r="A66" s="79"/>
      <c r="B66" s="79"/>
      <c r="C66" s="79"/>
      <c r="D66" s="79"/>
      <c r="E66" s="79"/>
      <c r="F66" s="79"/>
      <c r="G66" s="79"/>
      <c r="H66" s="79"/>
      <c r="I66" s="79"/>
      <c r="J66" s="79"/>
      <c r="K66" s="79"/>
      <c r="L66" s="79"/>
      <c r="M66" s="79"/>
    </row>
    <row r="67" spans="1:13" x14ac:dyDescent="0.3">
      <c r="A67" s="79"/>
      <c r="B67" s="79"/>
      <c r="C67" s="79"/>
      <c r="D67" s="79"/>
      <c r="E67" s="79"/>
      <c r="F67" s="79"/>
      <c r="G67" s="79"/>
      <c r="H67" s="79"/>
      <c r="I67" s="79"/>
      <c r="J67" s="79"/>
      <c r="K67" s="79"/>
      <c r="L67" s="79"/>
      <c r="M67" s="79"/>
    </row>
    <row r="68" spans="1:13" x14ac:dyDescent="0.3">
      <c r="A68" s="79"/>
      <c r="B68" s="79"/>
      <c r="C68" s="79"/>
      <c r="D68" s="79"/>
      <c r="E68" s="79"/>
      <c r="F68" s="79"/>
      <c r="G68" s="79"/>
      <c r="H68" s="79"/>
      <c r="I68" s="79"/>
      <c r="J68" s="79"/>
      <c r="K68" s="79"/>
      <c r="L68" s="79"/>
      <c r="M68" s="79"/>
    </row>
    <row r="69" spans="1:13" x14ac:dyDescent="0.3">
      <c r="A69" s="79"/>
      <c r="B69" s="79"/>
      <c r="C69" s="79"/>
      <c r="D69" s="79"/>
      <c r="E69" s="79"/>
      <c r="F69" s="79"/>
      <c r="G69" s="79"/>
      <c r="H69" s="79"/>
      <c r="I69" s="79"/>
      <c r="J69" s="79"/>
      <c r="K69" s="79"/>
      <c r="L69" s="79"/>
      <c r="M69" s="79"/>
    </row>
    <row r="70" spans="1:13" x14ac:dyDescent="0.3">
      <c r="A70" s="79"/>
      <c r="B70" s="79"/>
      <c r="C70" s="79"/>
      <c r="D70" s="79"/>
      <c r="E70" s="79"/>
      <c r="F70" s="79"/>
      <c r="G70" s="79"/>
      <c r="H70" s="79"/>
      <c r="I70" s="79"/>
      <c r="J70" s="79"/>
      <c r="K70" s="79"/>
      <c r="L70" s="79"/>
      <c r="M70" s="79"/>
    </row>
    <row r="71" spans="1:13" x14ac:dyDescent="0.3">
      <c r="A71" s="79"/>
      <c r="B71" s="79"/>
      <c r="C71" s="79"/>
      <c r="D71" s="79"/>
      <c r="E71" s="79"/>
      <c r="F71" s="79"/>
      <c r="G71" s="79"/>
      <c r="H71" s="79"/>
      <c r="I71" s="79"/>
      <c r="J71" s="79"/>
      <c r="K71" s="79"/>
      <c r="L71" s="79"/>
      <c r="M71" s="79"/>
    </row>
  </sheetData>
  <sheetProtection algorithmName="SHA-512" hashValue="1FGV3lTfAi9/Q1RzVLcpWNp9mjgsXdwqSplYxd5zfziCExcDnpfEWdGfoHx9Gh/3kc7RXP5Bw89hlWojqwcMKg==" saltValue="SMtJ9bh6Q1x5R8B+a1O6cg==" spinCount="100000" sheet="1" objects="1" scenarios="1"/>
  <mergeCells count="71">
    <mergeCell ref="A1:M1"/>
    <mergeCell ref="A3:M3"/>
    <mergeCell ref="A10:M10"/>
    <mergeCell ref="G11:H11"/>
    <mergeCell ref="D12:F12"/>
    <mergeCell ref="G12:H12"/>
    <mergeCell ref="D21:F21"/>
    <mergeCell ref="G21:H21"/>
    <mergeCell ref="D13:F13"/>
    <mergeCell ref="G13:H13"/>
    <mergeCell ref="D14:F14"/>
    <mergeCell ref="G14:H14"/>
    <mergeCell ref="D15:F15"/>
    <mergeCell ref="G15:H15"/>
    <mergeCell ref="D16:F16"/>
    <mergeCell ref="G16:H16"/>
    <mergeCell ref="A19:M19"/>
    <mergeCell ref="D20:F20"/>
    <mergeCell ref="G20:H20"/>
    <mergeCell ref="D22:F22"/>
    <mergeCell ref="G22:H22"/>
    <mergeCell ref="D23:F23"/>
    <mergeCell ref="G23:H23"/>
    <mergeCell ref="D24:F24"/>
    <mergeCell ref="G24:H24"/>
    <mergeCell ref="D29:F29"/>
    <mergeCell ref="G29:H29"/>
    <mergeCell ref="D28:F28"/>
    <mergeCell ref="G28:H28"/>
    <mergeCell ref="D25:F25"/>
    <mergeCell ref="G25:H25"/>
    <mergeCell ref="D26:F26"/>
    <mergeCell ref="G26:H26"/>
    <mergeCell ref="D27:F27"/>
    <mergeCell ref="G27:H27"/>
    <mergeCell ref="D31:F31"/>
    <mergeCell ref="G31:H31"/>
    <mergeCell ref="D32:F32"/>
    <mergeCell ref="G32:H32"/>
    <mergeCell ref="D30:F30"/>
    <mergeCell ref="G30:H30"/>
    <mergeCell ref="D33:F33"/>
    <mergeCell ref="G33:H33"/>
    <mergeCell ref="D34:F34"/>
    <mergeCell ref="G34:H34"/>
    <mergeCell ref="D35:F35"/>
    <mergeCell ref="G35:H35"/>
    <mergeCell ref="D36:F36"/>
    <mergeCell ref="G36:H36"/>
    <mergeCell ref="D37:F37"/>
    <mergeCell ref="G37:H37"/>
    <mergeCell ref="D38:F38"/>
    <mergeCell ref="G38:H38"/>
    <mergeCell ref="D48:F48"/>
    <mergeCell ref="G48:H48"/>
    <mergeCell ref="D39:F39"/>
    <mergeCell ref="G39:H39"/>
    <mergeCell ref="D40:F40"/>
    <mergeCell ref="G40:H40"/>
    <mergeCell ref="D41:F41"/>
    <mergeCell ref="G41:H41"/>
    <mergeCell ref="D42:F42"/>
    <mergeCell ref="G42:H42"/>
    <mergeCell ref="A46:M46"/>
    <mergeCell ref="D47:F47"/>
    <mergeCell ref="G47:H47"/>
    <mergeCell ref="D49:F49"/>
    <mergeCell ref="G49:H49"/>
    <mergeCell ref="A50:J50"/>
    <mergeCell ref="A51:J51"/>
    <mergeCell ref="A52:J52"/>
  </mergeCells>
  <printOptions horizontalCentered="1"/>
  <pageMargins left="0.25" right="0.25" top="0.75" bottom="0.75" header="0.3" footer="0.3"/>
  <pageSetup scale="59" fitToHeight="0" orientation="landscape" r:id="rId1"/>
  <headerFooter>
    <oddHeader>&amp;C&amp;14COLLIN COUNTY - FY 2027 HEALTHCARE FUND BUILD-YOUR-OWN-BUDGET</oddHeader>
    <oddFooter>&amp;CPage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Title="Add to Recommended Budget?" prompt="Enter &quot;Yes&quot; to add to Recommended Budget. " xr:uid="{7866C58D-EAB6-414B-A040-9CABD039796F}">
          <x14:formula1>
            <xm:f>'General Fund'!$O$1:$O$2</xm:f>
          </x14:formula1>
          <xm:sqref>L48:L49 L5:L7 L12:L16 L21:L42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E243D-F082-485F-94FB-6D0550228568}">
  <sheetPr>
    <pageSetUpPr fitToPage="1"/>
  </sheetPr>
  <dimension ref="A1:M83"/>
  <sheetViews>
    <sheetView zoomScaleNormal="100" workbookViewId="0">
      <pane ySplit="2" topLeftCell="A3" activePane="bottomLeft" state="frozen"/>
      <selection pane="bottomLeft" activeCell="M5" sqref="M5"/>
    </sheetView>
  </sheetViews>
  <sheetFormatPr defaultColWidth="8.88671875" defaultRowHeight="14.4" x14ac:dyDescent="0.3"/>
  <cols>
    <col min="1" max="1" width="6" style="30" bestFit="1" customWidth="1"/>
    <col min="2" max="2" width="5" style="30" bestFit="1" customWidth="1"/>
    <col min="3" max="3" width="10.6640625" style="30" bestFit="1" customWidth="1"/>
    <col min="4" max="4" width="6.6640625" style="30" bestFit="1" customWidth="1"/>
    <col min="5" max="5" width="53.44140625" style="30" bestFit="1" customWidth="1"/>
    <col min="6" max="6" width="7.33203125" style="30" bestFit="1" customWidth="1"/>
    <col min="7" max="7" width="48" style="30" bestFit="1" customWidth="1"/>
    <col min="8" max="8" width="10.5546875" style="30" customWidth="1"/>
    <col min="9" max="9" width="13.5546875" style="30" bestFit="1" customWidth="1"/>
    <col min="10" max="10" width="11.33203125" style="30" bestFit="1" customWidth="1"/>
    <col min="11" max="11" width="13.5546875" style="30" bestFit="1" customWidth="1"/>
    <col min="12" max="12" width="9.109375" style="30" bestFit="1" customWidth="1"/>
    <col min="13" max="13" width="31.6640625" style="30" customWidth="1"/>
    <col min="14" max="16384" width="8.88671875" style="30"/>
  </cols>
  <sheetData>
    <row r="1" spans="1:13" ht="18" x14ac:dyDescent="0.35">
      <c r="A1" s="324" t="s">
        <v>285</v>
      </c>
      <c r="B1" s="325"/>
      <c r="C1" s="325"/>
      <c r="D1" s="325"/>
      <c r="E1" s="325"/>
      <c r="F1" s="325"/>
      <c r="G1" s="325"/>
      <c r="H1" s="325"/>
      <c r="I1" s="325"/>
      <c r="J1" s="325"/>
      <c r="K1" s="325"/>
      <c r="L1" s="325"/>
      <c r="M1" s="326"/>
    </row>
    <row r="2" spans="1:13" s="32" customFormat="1" ht="6" customHeight="1" x14ac:dyDescent="0.3">
      <c r="A2" s="74"/>
      <c r="B2" s="74"/>
      <c r="C2" s="74"/>
      <c r="D2" s="74"/>
      <c r="E2" s="75"/>
      <c r="F2" s="76"/>
      <c r="G2" s="75"/>
      <c r="H2" s="77"/>
      <c r="I2" s="78"/>
      <c r="J2" s="78"/>
      <c r="K2" s="78"/>
      <c r="L2" s="78"/>
      <c r="M2" s="78"/>
    </row>
    <row r="3" spans="1:13" ht="18" x14ac:dyDescent="0.35">
      <c r="A3" s="313" t="s">
        <v>277</v>
      </c>
      <c r="B3" s="314"/>
      <c r="C3" s="314"/>
      <c r="D3" s="314"/>
      <c r="E3" s="314"/>
      <c r="F3" s="314"/>
      <c r="G3" s="314"/>
      <c r="H3" s="314"/>
      <c r="I3" s="314"/>
      <c r="J3" s="314"/>
      <c r="K3" s="314"/>
      <c r="L3" s="314"/>
      <c r="M3" s="315"/>
    </row>
    <row r="4" spans="1:13" ht="31.8" x14ac:dyDescent="0.3">
      <c r="A4" s="34" t="s">
        <v>181</v>
      </c>
      <c r="B4" s="35" t="s">
        <v>21</v>
      </c>
      <c r="C4" s="35" t="s">
        <v>177</v>
      </c>
      <c r="D4" s="35" t="s">
        <v>22</v>
      </c>
      <c r="E4" s="36" t="s">
        <v>23</v>
      </c>
      <c r="F4" s="37" t="s">
        <v>180</v>
      </c>
      <c r="G4" s="36" t="s">
        <v>24</v>
      </c>
      <c r="H4" s="38" t="s">
        <v>26</v>
      </c>
      <c r="I4" s="39" t="s">
        <v>27</v>
      </c>
      <c r="J4" s="39" t="s">
        <v>28</v>
      </c>
      <c r="K4" s="39" t="s">
        <v>29</v>
      </c>
      <c r="L4" s="93" t="s">
        <v>178</v>
      </c>
      <c r="M4" s="40" t="s">
        <v>179</v>
      </c>
    </row>
    <row r="5" spans="1:13" x14ac:dyDescent="0.3">
      <c r="A5" s="41">
        <v>500</v>
      </c>
      <c r="B5" s="42" t="s">
        <v>112</v>
      </c>
      <c r="C5" s="43" t="s">
        <v>113</v>
      </c>
      <c r="D5" s="43">
        <v>3</v>
      </c>
      <c r="E5" s="44" t="s">
        <v>114</v>
      </c>
      <c r="F5" s="43">
        <v>1</v>
      </c>
      <c r="G5" s="48" t="s">
        <v>115</v>
      </c>
      <c r="H5" s="45" t="s">
        <v>34</v>
      </c>
      <c r="I5" s="46">
        <v>2711</v>
      </c>
      <c r="J5" s="47">
        <v>77528</v>
      </c>
      <c r="K5" s="46">
        <f t="shared" ref="K5:K6" si="0">I5+J5</f>
        <v>80239</v>
      </c>
      <c r="L5" s="83"/>
      <c r="M5" s="85"/>
    </row>
    <row r="6" spans="1:13" x14ac:dyDescent="0.3">
      <c r="A6" s="41">
        <v>501</v>
      </c>
      <c r="B6" s="42" t="s">
        <v>112</v>
      </c>
      <c r="C6" s="43" t="s">
        <v>116</v>
      </c>
      <c r="D6" s="43">
        <v>3</v>
      </c>
      <c r="E6" s="44" t="s">
        <v>117</v>
      </c>
      <c r="F6" s="43">
        <v>1</v>
      </c>
      <c r="G6" s="48" t="s">
        <v>118</v>
      </c>
      <c r="H6" s="45" t="s">
        <v>34</v>
      </c>
      <c r="I6" s="46">
        <v>14249</v>
      </c>
      <c r="J6" s="47">
        <v>78149</v>
      </c>
      <c r="K6" s="46">
        <f t="shared" si="0"/>
        <v>92398</v>
      </c>
      <c r="L6" s="83"/>
      <c r="M6" s="85"/>
    </row>
    <row r="7" spans="1:13" x14ac:dyDescent="0.3">
      <c r="A7" s="56"/>
      <c r="B7" s="56"/>
      <c r="C7" s="56"/>
      <c r="D7" s="56"/>
      <c r="E7" s="56"/>
      <c r="F7" s="56"/>
      <c r="G7" s="57" t="s">
        <v>190</v>
      </c>
      <c r="H7" s="56"/>
      <c r="I7" s="58">
        <f>SUMIF($L5:$L6,"YES",$I5:$I6)</f>
        <v>0</v>
      </c>
      <c r="J7" s="58">
        <f>SUMIF($L5:$L6,"YES",$J5:$J6)</f>
        <v>0</v>
      </c>
      <c r="K7" s="58">
        <f>SUMIF($L5:$L6,"YES",$K5:$K6)</f>
        <v>0</v>
      </c>
      <c r="L7" s="56"/>
      <c r="M7" s="56"/>
    </row>
    <row r="8" spans="1:13" x14ac:dyDescent="0.3">
      <c r="A8" s="79"/>
      <c r="B8" s="79"/>
      <c r="C8" s="79"/>
      <c r="D8" s="79"/>
      <c r="E8" s="79"/>
      <c r="F8" s="79"/>
      <c r="G8" s="79"/>
      <c r="H8" s="79"/>
      <c r="I8" s="79"/>
      <c r="J8" s="79"/>
      <c r="K8" s="79"/>
      <c r="L8" s="79"/>
      <c r="M8" s="79"/>
    </row>
    <row r="9" spans="1:13" ht="18" x14ac:dyDescent="0.35">
      <c r="A9" s="313" t="s">
        <v>278</v>
      </c>
      <c r="B9" s="314"/>
      <c r="C9" s="314"/>
      <c r="D9" s="314"/>
      <c r="E9" s="314"/>
      <c r="F9" s="314"/>
      <c r="G9" s="314"/>
      <c r="H9" s="314"/>
      <c r="I9" s="314"/>
      <c r="J9" s="314"/>
      <c r="K9" s="314"/>
      <c r="L9" s="314"/>
      <c r="M9" s="315"/>
    </row>
    <row r="10" spans="1:13" ht="31.8" x14ac:dyDescent="0.3">
      <c r="A10" s="34" t="s">
        <v>181</v>
      </c>
      <c r="B10" s="35" t="s">
        <v>21</v>
      </c>
      <c r="C10" s="35" t="s">
        <v>177</v>
      </c>
      <c r="D10" s="35" t="s">
        <v>22</v>
      </c>
      <c r="E10" s="36" t="s">
        <v>23</v>
      </c>
      <c r="F10" s="37" t="s">
        <v>180</v>
      </c>
      <c r="G10" s="36" t="s">
        <v>24</v>
      </c>
      <c r="H10" s="38" t="s">
        <v>26</v>
      </c>
      <c r="I10" s="39" t="s">
        <v>228</v>
      </c>
      <c r="J10" s="39" t="s">
        <v>229</v>
      </c>
      <c r="K10" s="39" t="s">
        <v>29</v>
      </c>
      <c r="L10" s="93" t="s">
        <v>178</v>
      </c>
      <c r="M10" s="40" t="s">
        <v>179</v>
      </c>
    </row>
    <row r="11" spans="1:13" x14ac:dyDescent="0.3">
      <c r="A11" s="41"/>
      <c r="B11" s="42" t="s">
        <v>201</v>
      </c>
      <c r="C11" s="43" t="s">
        <v>202</v>
      </c>
      <c r="D11" s="43"/>
      <c r="E11" s="44" t="s">
        <v>203</v>
      </c>
      <c r="F11" s="43">
        <v>1</v>
      </c>
      <c r="G11" s="44" t="s">
        <v>224</v>
      </c>
      <c r="H11" s="45" t="s">
        <v>34</v>
      </c>
      <c r="I11" s="46">
        <v>7560</v>
      </c>
      <c r="J11" s="47">
        <v>-1025</v>
      </c>
      <c r="K11" s="46">
        <f t="shared" ref="K11:K14" si="1">I11+J11</f>
        <v>6535</v>
      </c>
      <c r="L11" s="83"/>
      <c r="M11" s="84"/>
    </row>
    <row r="12" spans="1:13" x14ac:dyDescent="0.3">
      <c r="A12" s="41"/>
      <c r="B12" s="42" t="s">
        <v>204</v>
      </c>
      <c r="C12" s="43" t="s">
        <v>205</v>
      </c>
      <c r="D12" s="43"/>
      <c r="E12" s="44" t="s">
        <v>206</v>
      </c>
      <c r="F12" s="43">
        <v>2</v>
      </c>
      <c r="G12" s="48" t="s">
        <v>225</v>
      </c>
      <c r="H12" s="45" t="s">
        <v>34</v>
      </c>
      <c r="I12" s="46">
        <v>0</v>
      </c>
      <c r="J12" s="47">
        <v>132000</v>
      </c>
      <c r="K12" s="46">
        <f t="shared" si="1"/>
        <v>132000</v>
      </c>
      <c r="L12" s="83"/>
      <c r="M12" s="85"/>
    </row>
    <row r="13" spans="1:13" x14ac:dyDescent="0.3">
      <c r="A13" s="41"/>
      <c r="B13" s="42" t="s">
        <v>207</v>
      </c>
      <c r="C13" s="43" t="s">
        <v>208</v>
      </c>
      <c r="D13" s="43"/>
      <c r="E13" s="44" t="s">
        <v>209</v>
      </c>
      <c r="F13" s="43">
        <v>2</v>
      </c>
      <c r="G13" s="48" t="s">
        <v>226</v>
      </c>
      <c r="H13" s="45" t="s">
        <v>34</v>
      </c>
      <c r="I13" s="46">
        <v>150000</v>
      </c>
      <c r="J13" s="47">
        <v>65000</v>
      </c>
      <c r="K13" s="46">
        <f t="shared" si="1"/>
        <v>215000</v>
      </c>
      <c r="L13" s="83"/>
      <c r="M13" s="85"/>
    </row>
    <row r="14" spans="1:13" x14ac:dyDescent="0.3">
      <c r="A14" s="41"/>
      <c r="B14" s="42" t="s">
        <v>210</v>
      </c>
      <c r="C14" s="43" t="s">
        <v>211</v>
      </c>
      <c r="D14" s="43"/>
      <c r="E14" s="44" t="s">
        <v>212</v>
      </c>
      <c r="F14" s="43">
        <v>2</v>
      </c>
      <c r="G14" s="48" t="s">
        <v>227</v>
      </c>
      <c r="H14" s="45" t="s">
        <v>34</v>
      </c>
      <c r="I14" s="46">
        <v>290000</v>
      </c>
      <c r="J14" s="47">
        <v>180000</v>
      </c>
      <c r="K14" s="46">
        <f t="shared" si="1"/>
        <v>470000</v>
      </c>
      <c r="L14" s="83"/>
      <c r="M14" s="85"/>
    </row>
    <row r="15" spans="1:13" x14ac:dyDescent="0.3">
      <c r="A15" s="56"/>
      <c r="B15" s="56"/>
      <c r="C15" s="56"/>
      <c r="D15" s="56"/>
      <c r="E15" s="56"/>
      <c r="F15" s="56"/>
      <c r="G15" s="57" t="s">
        <v>230</v>
      </c>
      <c r="H15" s="56"/>
      <c r="I15" s="58">
        <f>SUMIF($L11:$L14,"YES",$I11:$I14)</f>
        <v>0</v>
      </c>
      <c r="J15" s="58">
        <f>SUMIF($L11:$L14,"YES",$J11:$J14)</f>
        <v>0</v>
      </c>
      <c r="K15" s="58">
        <f>SUMIF($L11:$L14,"YES",$K11:$K14)</f>
        <v>0</v>
      </c>
      <c r="L15" s="56"/>
      <c r="M15" s="56"/>
    </row>
    <row r="16" spans="1:13" x14ac:dyDescent="0.3">
      <c r="A16" s="79"/>
      <c r="B16" s="79"/>
      <c r="C16" s="79"/>
      <c r="D16" s="79"/>
      <c r="E16" s="79"/>
      <c r="F16" s="79"/>
      <c r="G16" s="79"/>
      <c r="H16" s="79"/>
      <c r="I16" s="79"/>
      <c r="J16" s="79"/>
      <c r="K16" s="79"/>
      <c r="L16" s="79"/>
      <c r="M16" s="79"/>
    </row>
    <row r="17" spans="1:13" ht="18" x14ac:dyDescent="0.35">
      <c r="A17" s="313" t="s">
        <v>279</v>
      </c>
      <c r="B17" s="314"/>
      <c r="C17" s="314"/>
      <c r="D17" s="314"/>
      <c r="E17" s="314"/>
      <c r="F17" s="314"/>
      <c r="G17" s="314"/>
      <c r="H17" s="314"/>
      <c r="I17" s="314"/>
      <c r="J17" s="314"/>
      <c r="K17" s="314"/>
      <c r="L17" s="314"/>
      <c r="M17" s="315"/>
    </row>
    <row r="18" spans="1:13" ht="27.6" x14ac:dyDescent="0.3">
      <c r="A18" s="34"/>
      <c r="B18" s="35" t="s">
        <v>21</v>
      </c>
      <c r="C18" s="35" t="s">
        <v>177</v>
      </c>
      <c r="D18" s="35"/>
      <c r="E18" s="36"/>
      <c r="F18" s="37"/>
      <c r="G18" s="316" t="s">
        <v>194</v>
      </c>
      <c r="H18" s="316"/>
      <c r="I18" s="39" t="s">
        <v>183</v>
      </c>
      <c r="J18" s="39" t="s">
        <v>184</v>
      </c>
      <c r="K18" s="39" t="s">
        <v>185</v>
      </c>
      <c r="L18" s="93" t="s">
        <v>178</v>
      </c>
      <c r="M18" s="40" t="s">
        <v>179</v>
      </c>
    </row>
    <row r="19" spans="1:13" ht="14.4" customHeight="1" x14ac:dyDescent="0.3">
      <c r="A19" s="52"/>
      <c r="B19" s="42"/>
      <c r="C19" s="59" t="s">
        <v>186</v>
      </c>
      <c r="D19" s="298" t="s">
        <v>281</v>
      </c>
      <c r="E19" s="299"/>
      <c r="F19" s="300"/>
      <c r="G19" s="301" t="s">
        <v>189</v>
      </c>
      <c r="H19" s="302"/>
      <c r="I19" s="46">
        <v>0</v>
      </c>
      <c r="J19" s="47">
        <v>420247</v>
      </c>
      <c r="K19" s="46">
        <f t="shared" ref="K19:K23" si="2">I19+J19</f>
        <v>420247</v>
      </c>
      <c r="L19" s="83"/>
      <c r="M19" s="85"/>
    </row>
    <row r="20" spans="1:13" x14ac:dyDescent="0.3">
      <c r="A20" s="41"/>
      <c r="B20" s="42"/>
      <c r="C20" s="59" t="s">
        <v>186</v>
      </c>
      <c r="D20" s="298" t="s">
        <v>281</v>
      </c>
      <c r="E20" s="299"/>
      <c r="F20" s="300"/>
      <c r="G20" s="301" t="s">
        <v>187</v>
      </c>
      <c r="H20" s="302"/>
      <c r="I20" s="46">
        <v>0</v>
      </c>
      <c r="J20" s="47">
        <v>0</v>
      </c>
      <c r="K20" s="46">
        <f t="shared" si="2"/>
        <v>0</v>
      </c>
      <c r="L20" s="83"/>
      <c r="M20" s="84"/>
    </row>
    <row r="21" spans="1:13" x14ac:dyDescent="0.3">
      <c r="A21" s="41"/>
      <c r="B21" s="42"/>
      <c r="C21" s="59" t="s">
        <v>186</v>
      </c>
      <c r="D21" s="298" t="s">
        <v>281</v>
      </c>
      <c r="E21" s="299"/>
      <c r="F21" s="300"/>
      <c r="G21" s="301" t="s">
        <v>188</v>
      </c>
      <c r="H21" s="302"/>
      <c r="I21" s="46">
        <v>0</v>
      </c>
      <c r="J21" s="47">
        <v>325052</v>
      </c>
      <c r="K21" s="46">
        <f t="shared" si="2"/>
        <v>325052</v>
      </c>
      <c r="L21" s="83"/>
      <c r="M21" s="84"/>
    </row>
    <row r="22" spans="1:13" x14ac:dyDescent="0.3">
      <c r="A22" s="41"/>
      <c r="B22" s="42"/>
      <c r="C22" s="43"/>
      <c r="D22" s="329"/>
      <c r="E22" s="299"/>
      <c r="F22" s="300"/>
      <c r="G22" s="301"/>
      <c r="H22" s="302"/>
      <c r="I22" s="46"/>
      <c r="J22" s="47"/>
      <c r="K22" s="46">
        <f t="shared" si="2"/>
        <v>0</v>
      </c>
      <c r="L22" s="83"/>
      <c r="M22" s="85"/>
    </row>
    <row r="23" spans="1:13" x14ac:dyDescent="0.3">
      <c r="A23" s="41"/>
      <c r="B23" s="42"/>
      <c r="C23" s="43"/>
      <c r="D23" s="329"/>
      <c r="E23" s="299"/>
      <c r="F23" s="300"/>
      <c r="G23" s="301"/>
      <c r="H23" s="302"/>
      <c r="I23" s="46"/>
      <c r="J23" s="47"/>
      <c r="K23" s="46">
        <f t="shared" si="2"/>
        <v>0</v>
      </c>
      <c r="L23" s="83"/>
      <c r="M23" s="85"/>
    </row>
    <row r="24" spans="1:13" x14ac:dyDescent="0.3">
      <c r="A24" s="56"/>
      <c r="B24" s="56"/>
      <c r="C24" s="56"/>
      <c r="D24" s="56"/>
      <c r="E24" s="56"/>
      <c r="F24" s="56"/>
      <c r="G24" s="57" t="s">
        <v>191</v>
      </c>
      <c r="H24" s="56"/>
      <c r="I24" s="58">
        <f>SUMIF($L19:$L23,"YES",$I19:$I23)</f>
        <v>0</v>
      </c>
      <c r="J24" s="58">
        <f>SUMIF($L19:$L23,"YES",$J19:$J23)</f>
        <v>0</v>
      </c>
      <c r="K24" s="58">
        <f>SUMIF($L19:$L23,"YES",$K19:$K23)</f>
        <v>0</v>
      </c>
      <c r="L24" s="56"/>
      <c r="M24" s="56"/>
    </row>
    <row r="25" spans="1:13" x14ac:dyDescent="0.3">
      <c r="A25" s="79"/>
      <c r="B25" s="79"/>
      <c r="C25" s="79"/>
      <c r="D25" s="79"/>
      <c r="E25" s="79"/>
      <c r="F25" s="79"/>
      <c r="G25" s="79"/>
      <c r="H25" s="79"/>
      <c r="I25" s="79"/>
      <c r="J25" s="79"/>
      <c r="K25" s="79"/>
      <c r="L25" s="79"/>
      <c r="M25" s="79"/>
    </row>
    <row r="26" spans="1:13" ht="18" x14ac:dyDescent="0.35">
      <c r="A26" s="313" t="s">
        <v>280</v>
      </c>
      <c r="B26" s="314"/>
      <c r="C26" s="314"/>
      <c r="D26" s="314"/>
      <c r="E26" s="314"/>
      <c r="F26" s="314"/>
      <c r="G26" s="314"/>
      <c r="H26" s="314"/>
      <c r="I26" s="314"/>
      <c r="J26" s="314"/>
      <c r="K26" s="314"/>
      <c r="L26" s="314"/>
      <c r="M26" s="315"/>
    </row>
    <row r="27" spans="1:13" ht="27.6" x14ac:dyDescent="0.3">
      <c r="A27" s="34"/>
      <c r="B27" s="35" t="s">
        <v>21</v>
      </c>
      <c r="C27" s="35" t="s">
        <v>177</v>
      </c>
      <c r="D27" s="316" t="s">
        <v>23</v>
      </c>
      <c r="E27" s="316"/>
      <c r="F27" s="316"/>
      <c r="G27" s="316" t="s">
        <v>194</v>
      </c>
      <c r="H27" s="316"/>
      <c r="I27" s="39" t="s">
        <v>183</v>
      </c>
      <c r="J27" s="39" t="s">
        <v>184</v>
      </c>
      <c r="K27" s="39" t="s">
        <v>185</v>
      </c>
      <c r="L27" s="93" t="s">
        <v>178</v>
      </c>
      <c r="M27" s="40" t="s">
        <v>179</v>
      </c>
    </row>
    <row r="28" spans="1:13" x14ac:dyDescent="0.3">
      <c r="A28" s="52"/>
      <c r="B28" s="42"/>
      <c r="C28" s="59" t="s">
        <v>186</v>
      </c>
      <c r="D28" s="298" t="s">
        <v>281</v>
      </c>
      <c r="E28" s="299"/>
      <c r="F28" s="300"/>
      <c r="G28" s="301" t="s">
        <v>193</v>
      </c>
      <c r="H28" s="302"/>
      <c r="I28" s="46"/>
      <c r="J28" s="47"/>
      <c r="K28" s="46">
        <v>207485270</v>
      </c>
      <c r="L28" s="45" t="s">
        <v>182</v>
      </c>
      <c r="M28" s="85"/>
    </row>
    <row r="29" spans="1:13" x14ac:dyDescent="0.3">
      <c r="A29" s="41"/>
      <c r="B29" s="42"/>
      <c r="C29" s="59" t="s">
        <v>186</v>
      </c>
      <c r="D29" s="298" t="s">
        <v>281</v>
      </c>
      <c r="E29" s="299"/>
      <c r="F29" s="300"/>
      <c r="G29" s="301" t="s">
        <v>195</v>
      </c>
      <c r="H29" s="302"/>
      <c r="I29" s="46">
        <f>I7</f>
        <v>0</v>
      </c>
      <c r="J29" s="47">
        <f>J7</f>
        <v>0</v>
      </c>
      <c r="K29" s="46">
        <f t="shared" ref="K29:K51" si="3">I29+J29</f>
        <v>0</v>
      </c>
      <c r="L29" s="45" t="s">
        <v>182</v>
      </c>
      <c r="M29" s="84"/>
    </row>
    <row r="30" spans="1:13" x14ac:dyDescent="0.3">
      <c r="A30" s="41"/>
      <c r="B30" s="42"/>
      <c r="C30" s="59" t="s">
        <v>186</v>
      </c>
      <c r="D30" s="298" t="s">
        <v>281</v>
      </c>
      <c r="E30" s="299"/>
      <c r="F30" s="300"/>
      <c r="G30" s="301" t="s">
        <v>196</v>
      </c>
      <c r="H30" s="302"/>
      <c r="I30" s="46">
        <f>I24</f>
        <v>0</v>
      </c>
      <c r="J30" s="47">
        <f>J24</f>
        <v>0</v>
      </c>
      <c r="K30" s="46">
        <f t="shared" si="3"/>
        <v>0</v>
      </c>
      <c r="L30" s="45" t="s">
        <v>182</v>
      </c>
      <c r="M30" s="84"/>
    </row>
    <row r="31" spans="1:13" x14ac:dyDescent="0.3">
      <c r="A31" s="41"/>
      <c r="B31" s="42"/>
      <c r="C31" s="59" t="s">
        <v>186</v>
      </c>
      <c r="D31" s="298" t="s">
        <v>281</v>
      </c>
      <c r="E31" s="299"/>
      <c r="F31" s="300"/>
      <c r="G31" s="301" t="s">
        <v>232</v>
      </c>
      <c r="H31" s="302"/>
      <c r="I31" s="46">
        <f>I15</f>
        <v>0</v>
      </c>
      <c r="J31" s="47">
        <f>J15</f>
        <v>0</v>
      </c>
      <c r="K31" s="46">
        <f t="shared" si="3"/>
        <v>0</v>
      </c>
      <c r="L31" s="83" t="s">
        <v>182</v>
      </c>
      <c r="M31" s="85"/>
    </row>
    <row r="32" spans="1:13" x14ac:dyDescent="0.3">
      <c r="A32" s="41"/>
      <c r="B32" s="42"/>
      <c r="C32" s="87"/>
      <c r="D32" s="330"/>
      <c r="E32" s="319"/>
      <c r="F32" s="320"/>
      <c r="G32" s="321"/>
      <c r="H32" s="323"/>
      <c r="I32" s="88"/>
      <c r="J32" s="89"/>
      <c r="K32" s="46">
        <f t="shared" ref="K32:K44" si="4">I32+J32</f>
        <v>0</v>
      </c>
      <c r="L32" s="83"/>
      <c r="M32" s="84"/>
    </row>
    <row r="33" spans="1:13" x14ac:dyDescent="0.3">
      <c r="A33" s="41"/>
      <c r="B33" s="42"/>
      <c r="C33" s="87"/>
      <c r="D33" s="330"/>
      <c r="E33" s="319"/>
      <c r="F33" s="320"/>
      <c r="G33" s="321"/>
      <c r="H33" s="323"/>
      <c r="I33" s="88"/>
      <c r="J33" s="89"/>
      <c r="K33" s="46">
        <f t="shared" si="4"/>
        <v>0</v>
      </c>
      <c r="L33" s="83"/>
      <c r="M33" s="84"/>
    </row>
    <row r="34" spans="1:13" x14ac:dyDescent="0.3">
      <c r="A34" s="41"/>
      <c r="B34" s="42"/>
      <c r="C34" s="87"/>
      <c r="D34" s="330"/>
      <c r="E34" s="319"/>
      <c r="F34" s="320"/>
      <c r="G34" s="321"/>
      <c r="H34" s="323"/>
      <c r="I34" s="88"/>
      <c r="J34" s="89"/>
      <c r="K34" s="46">
        <f t="shared" si="4"/>
        <v>0</v>
      </c>
      <c r="L34" s="83"/>
      <c r="M34" s="84"/>
    </row>
    <row r="35" spans="1:13" x14ac:dyDescent="0.3">
      <c r="A35" s="41"/>
      <c r="B35" s="42"/>
      <c r="C35" s="87"/>
      <c r="D35" s="330"/>
      <c r="E35" s="319"/>
      <c r="F35" s="320"/>
      <c r="G35" s="321"/>
      <c r="H35" s="323"/>
      <c r="I35" s="88"/>
      <c r="J35" s="89"/>
      <c r="K35" s="46">
        <f t="shared" ref="K35" si="5">I35+J35</f>
        <v>0</v>
      </c>
      <c r="L35" s="83"/>
      <c r="M35" s="84"/>
    </row>
    <row r="36" spans="1:13" x14ac:dyDescent="0.3">
      <c r="A36" s="41"/>
      <c r="B36" s="42"/>
      <c r="C36" s="87"/>
      <c r="D36" s="330"/>
      <c r="E36" s="319"/>
      <c r="F36" s="320"/>
      <c r="G36" s="321"/>
      <c r="H36" s="323"/>
      <c r="I36" s="88"/>
      <c r="J36" s="89"/>
      <c r="K36" s="46">
        <f t="shared" si="4"/>
        <v>0</v>
      </c>
      <c r="L36" s="83"/>
      <c r="M36" s="84"/>
    </row>
    <row r="37" spans="1:13" x14ac:dyDescent="0.3">
      <c r="A37" s="41"/>
      <c r="B37" s="42"/>
      <c r="C37" s="87"/>
      <c r="D37" s="330"/>
      <c r="E37" s="319"/>
      <c r="F37" s="320"/>
      <c r="G37" s="321"/>
      <c r="H37" s="323"/>
      <c r="I37" s="88"/>
      <c r="J37" s="89"/>
      <c r="K37" s="46">
        <f t="shared" ref="K37:K40" si="6">I37+J37</f>
        <v>0</v>
      </c>
      <c r="L37" s="83"/>
      <c r="M37" s="84"/>
    </row>
    <row r="38" spans="1:13" x14ac:dyDescent="0.3">
      <c r="A38" s="41"/>
      <c r="B38" s="42"/>
      <c r="C38" s="87"/>
      <c r="D38" s="330"/>
      <c r="E38" s="319"/>
      <c r="F38" s="320"/>
      <c r="G38" s="321"/>
      <c r="H38" s="323"/>
      <c r="I38" s="88"/>
      <c r="J38" s="89"/>
      <c r="K38" s="46">
        <f t="shared" si="6"/>
        <v>0</v>
      </c>
      <c r="L38" s="83"/>
      <c r="M38" s="84"/>
    </row>
    <row r="39" spans="1:13" x14ac:dyDescent="0.3">
      <c r="A39" s="41"/>
      <c r="B39" s="42"/>
      <c r="C39" s="87"/>
      <c r="D39" s="330"/>
      <c r="E39" s="319"/>
      <c r="F39" s="320"/>
      <c r="G39" s="321"/>
      <c r="H39" s="323"/>
      <c r="I39" s="88"/>
      <c r="J39" s="89"/>
      <c r="K39" s="46">
        <f t="shared" si="6"/>
        <v>0</v>
      </c>
      <c r="L39" s="83"/>
      <c r="M39" s="84"/>
    </row>
    <row r="40" spans="1:13" x14ac:dyDescent="0.3">
      <c r="A40" s="41"/>
      <c r="B40" s="42"/>
      <c r="C40" s="87"/>
      <c r="D40" s="330"/>
      <c r="E40" s="319"/>
      <c r="F40" s="320"/>
      <c r="G40" s="321"/>
      <c r="H40" s="323"/>
      <c r="I40" s="88"/>
      <c r="J40" s="89"/>
      <c r="K40" s="46">
        <f t="shared" si="6"/>
        <v>0</v>
      </c>
      <c r="L40" s="83"/>
      <c r="M40" s="84"/>
    </row>
    <row r="41" spans="1:13" x14ac:dyDescent="0.3">
      <c r="A41" s="41"/>
      <c r="B41" s="42"/>
      <c r="C41" s="87"/>
      <c r="D41" s="330"/>
      <c r="E41" s="319"/>
      <c r="F41" s="320"/>
      <c r="G41" s="321"/>
      <c r="H41" s="323"/>
      <c r="I41" s="88"/>
      <c r="J41" s="89"/>
      <c r="K41" s="46">
        <f t="shared" si="4"/>
        <v>0</v>
      </c>
      <c r="L41" s="83"/>
      <c r="M41" s="84"/>
    </row>
    <row r="42" spans="1:13" x14ac:dyDescent="0.3">
      <c r="A42" s="41"/>
      <c r="B42" s="42"/>
      <c r="C42" s="87"/>
      <c r="D42" s="330"/>
      <c r="E42" s="319"/>
      <c r="F42" s="320"/>
      <c r="G42" s="321"/>
      <c r="H42" s="323"/>
      <c r="I42" s="88"/>
      <c r="J42" s="89"/>
      <c r="K42" s="46">
        <f t="shared" si="4"/>
        <v>0</v>
      </c>
      <c r="L42" s="83"/>
      <c r="M42" s="84"/>
    </row>
    <row r="43" spans="1:13" x14ac:dyDescent="0.3">
      <c r="A43" s="41"/>
      <c r="B43" s="42"/>
      <c r="C43" s="87"/>
      <c r="D43" s="330"/>
      <c r="E43" s="319"/>
      <c r="F43" s="320"/>
      <c r="G43" s="321"/>
      <c r="H43" s="323"/>
      <c r="I43" s="88"/>
      <c r="J43" s="89"/>
      <c r="K43" s="46">
        <f t="shared" si="4"/>
        <v>0</v>
      </c>
      <c r="L43" s="83"/>
      <c r="M43" s="84"/>
    </row>
    <row r="44" spans="1:13" x14ac:dyDescent="0.3">
      <c r="A44" s="41"/>
      <c r="B44" s="42"/>
      <c r="C44" s="87"/>
      <c r="D44" s="330"/>
      <c r="E44" s="319"/>
      <c r="F44" s="320"/>
      <c r="G44" s="321"/>
      <c r="H44" s="323"/>
      <c r="I44" s="88"/>
      <c r="J44" s="89"/>
      <c r="K44" s="46">
        <f t="shared" si="4"/>
        <v>0</v>
      </c>
      <c r="L44" s="83"/>
      <c r="M44" s="84"/>
    </row>
    <row r="45" spans="1:13" x14ac:dyDescent="0.3">
      <c r="A45" s="52"/>
      <c r="B45" s="42"/>
      <c r="C45" s="87"/>
      <c r="D45" s="330"/>
      <c r="E45" s="319"/>
      <c r="F45" s="320"/>
      <c r="G45" s="321"/>
      <c r="H45" s="323"/>
      <c r="I45" s="88"/>
      <c r="J45" s="89"/>
      <c r="K45" s="46">
        <f t="shared" si="3"/>
        <v>0</v>
      </c>
      <c r="L45" s="83"/>
      <c r="M45" s="85"/>
    </row>
    <row r="46" spans="1:13" x14ac:dyDescent="0.3">
      <c r="A46" s="52"/>
      <c r="B46" s="42"/>
      <c r="C46" s="87"/>
      <c r="D46" s="330"/>
      <c r="E46" s="319"/>
      <c r="F46" s="320"/>
      <c r="G46" s="321"/>
      <c r="H46" s="323"/>
      <c r="I46" s="88"/>
      <c r="J46" s="89"/>
      <c r="K46" s="46">
        <f t="shared" si="3"/>
        <v>0</v>
      </c>
      <c r="L46" s="83"/>
      <c r="M46" s="85"/>
    </row>
    <row r="47" spans="1:13" x14ac:dyDescent="0.3">
      <c r="A47" s="41"/>
      <c r="B47" s="42"/>
      <c r="C47" s="87"/>
      <c r="D47" s="330"/>
      <c r="E47" s="319"/>
      <c r="F47" s="320"/>
      <c r="G47" s="321"/>
      <c r="H47" s="323"/>
      <c r="I47" s="88"/>
      <c r="J47" s="89"/>
      <c r="K47" s="46">
        <f t="shared" si="3"/>
        <v>0</v>
      </c>
      <c r="L47" s="83"/>
      <c r="M47" s="84"/>
    </row>
    <row r="48" spans="1:13" x14ac:dyDescent="0.3">
      <c r="A48" s="41"/>
      <c r="B48" s="42"/>
      <c r="C48" s="87"/>
      <c r="D48" s="330"/>
      <c r="E48" s="319"/>
      <c r="F48" s="320"/>
      <c r="G48" s="321"/>
      <c r="H48" s="323"/>
      <c r="I48" s="88"/>
      <c r="J48" s="89"/>
      <c r="K48" s="46">
        <f t="shared" si="3"/>
        <v>0</v>
      </c>
      <c r="L48" s="83"/>
      <c r="M48" s="84"/>
    </row>
    <row r="49" spans="1:13" x14ac:dyDescent="0.3">
      <c r="A49" s="41"/>
      <c r="B49" s="42"/>
      <c r="C49" s="87"/>
      <c r="D49" s="330"/>
      <c r="E49" s="319"/>
      <c r="F49" s="320"/>
      <c r="G49" s="321"/>
      <c r="H49" s="323"/>
      <c r="I49" s="88"/>
      <c r="J49" s="89"/>
      <c r="K49" s="46">
        <f t="shared" si="3"/>
        <v>0</v>
      </c>
      <c r="L49" s="83"/>
      <c r="M49" s="85"/>
    </row>
    <row r="50" spans="1:13" x14ac:dyDescent="0.3">
      <c r="A50" s="41"/>
      <c r="B50" s="42"/>
      <c r="C50" s="87"/>
      <c r="D50" s="330"/>
      <c r="E50" s="319"/>
      <c r="F50" s="320"/>
      <c r="G50" s="321"/>
      <c r="H50" s="323"/>
      <c r="I50" s="88"/>
      <c r="J50" s="89"/>
      <c r="K50" s="46">
        <f t="shared" si="3"/>
        <v>0</v>
      </c>
      <c r="L50" s="83"/>
      <c r="M50" s="85"/>
    </row>
    <row r="51" spans="1:13" x14ac:dyDescent="0.3">
      <c r="A51" s="41"/>
      <c r="B51" s="42"/>
      <c r="C51" s="87"/>
      <c r="D51" s="330"/>
      <c r="E51" s="319"/>
      <c r="F51" s="320"/>
      <c r="G51" s="321"/>
      <c r="H51" s="323"/>
      <c r="I51" s="88"/>
      <c r="J51" s="89"/>
      <c r="K51" s="46">
        <f t="shared" si="3"/>
        <v>0</v>
      </c>
      <c r="L51" s="83"/>
      <c r="M51" s="85"/>
    </row>
    <row r="52" spans="1:13" x14ac:dyDescent="0.3">
      <c r="A52" s="56"/>
      <c r="B52" s="56"/>
      <c r="C52" s="56"/>
      <c r="D52" s="56"/>
      <c r="E52" s="56"/>
      <c r="F52" s="56"/>
      <c r="G52" s="57" t="s">
        <v>286</v>
      </c>
      <c r="H52" s="56"/>
      <c r="I52" s="58">
        <f>SUMIF($L28:$L51,"YES",$I28:$I51)</f>
        <v>0</v>
      </c>
      <c r="J52" s="58">
        <f>SUMIF($L28:$L51,"YES",$J28:$J51)</f>
        <v>0</v>
      </c>
      <c r="K52" s="58">
        <f>SUMIF($L28:$L51,"YES",$K28:$K51)</f>
        <v>207485270</v>
      </c>
      <c r="L52" s="56"/>
      <c r="M52" s="56"/>
    </row>
    <row r="53" spans="1:13" x14ac:dyDescent="0.3">
      <c r="A53" s="79"/>
      <c r="B53" s="79"/>
      <c r="C53" s="79"/>
      <c r="D53" s="79"/>
      <c r="E53" s="79"/>
      <c r="F53" s="79"/>
      <c r="G53" s="79"/>
      <c r="H53" s="79"/>
      <c r="I53" s="79"/>
      <c r="J53" s="79"/>
      <c r="K53" s="79"/>
      <c r="L53" s="79"/>
      <c r="M53" s="79"/>
    </row>
    <row r="54" spans="1:13" x14ac:dyDescent="0.3">
      <c r="A54" s="79"/>
      <c r="B54" s="79"/>
      <c r="C54" s="79"/>
      <c r="D54" s="79"/>
      <c r="E54" s="79"/>
      <c r="F54" s="79"/>
      <c r="G54" s="79"/>
      <c r="H54" s="79"/>
      <c r="I54" s="79"/>
      <c r="J54" s="79"/>
      <c r="K54" s="79"/>
      <c r="L54" s="79"/>
      <c r="M54" s="79"/>
    </row>
    <row r="55" spans="1:13" ht="18" x14ac:dyDescent="0.35">
      <c r="A55" s="303" t="s">
        <v>288</v>
      </c>
      <c r="B55" s="304"/>
      <c r="C55" s="304"/>
      <c r="D55" s="304"/>
      <c r="E55" s="304"/>
      <c r="F55" s="304"/>
      <c r="G55" s="304"/>
      <c r="H55" s="304"/>
      <c r="I55" s="304"/>
      <c r="J55" s="304"/>
      <c r="K55" s="304"/>
      <c r="L55" s="304"/>
      <c r="M55" s="305"/>
    </row>
    <row r="56" spans="1:13" ht="36.6" customHeight="1" x14ac:dyDescent="0.3">
      <c r="A56" s="60"/>
      <c r="B56" s="61" t="s">
        <v>21</v>
      </c>
      <c r="C56" s="61" t="s">
        <v>177</v>
      </c>
      <c r="D56" s="306" t="s">
        <v>23</v>
      </c>
      <c r="E56" s="306"/>
      <c r="F56" s="306"/>
      <c r="G56" s="306" t="s">
        <v>194</v>
      </c>
      <c r="H56" s="306"/>
      <c r="I56" s="62" t="s">
        <v>235</v>
      </c>
      <c r="J56" s="62"/>
      <c r="K56" s="62" t="s">
        <v>236</v>
      </c>
      <c r="L56" s="93" t="s">
        <v>178</v>
      </c>
      <c r="M56" s="63" t="s">
        <v>179</v>
      </c>
    </row>
    <row r="57" spans="1:13" ht="25.2" customHeight="1" x14ac:dyDescent="0.3">
      <c r="A57" s="41"/>
      <c r="B57" s="42" t="s">
        <v>92</v>
      </c>
      <c r="C57" s="59" t="s">
        <v>186</v>
      </c>
      <c r="D57" s="298" t="s">
        <v>281</v>
      </c>
      <c r="E57" s="299"/>
      <c r="F57" s="300"/>
      <c r="G57" s="301" t="s">
        <v>233</v>
      </c>
      <c r="H57" s="302"/>
      <c r="I57" s="64"/>
      <c r="J57" s="46"/>
      <c r="K57" s="46">
        <v>109807895</v>
      </c>
      <c r="L57" s="45" t="s">
        <v>182</v>
      </c>
      <c r="M57" s="84"/>
    </row>
    <row r="58" spans="1:13" x14ac:dyDescent="0.3">
      <c r="A58" s="41"/>
      <c r="B58" s="95" t="s">
        <v>291</v>
      </c>
      <c r="C58" s="59" t="s">
        <v>186</v>
      </c>
      <c r="D58" s="298" t="s">
        <v>292</v>
      </c>
      <c r="E58" s="299"/>
      <c r="F58" s="300"/>
      <c r="G58" s="301" t="s">
        <v>294</v>
      </c>
      <c r="H58" s="302"/>
      <c r="I58" s="65">
        <f>'Tax Rates'!B21</f>
        <v>8.0000000000000004E-4</v>
      </c>
      <c r="J58" s="47"/>
      <c r="K58" s="46">
        <f>'Tax Rates'!C21</f>
        <v>2170587</v>
      </c>
      <c r="L58" s="45" t="s">
        <v>182</v>
      </c>
      <c r="M58" s="94"/>
    </row>
    <row r="59" spans="1:13" x14ac:dyDescent="0.3">
      <c r="A59" s="41"/>
      <c r="B59" s="95" t="s">
        <v>293</v>
      </c>
      <c r="C59" s="59" t="s">
        <v>186</v>
      </c>
      <c r="D59" s="298" t="s">
        <v>242</v>
      </c>
      <c r="E59" s="299"/>
      <c r="F59" s="300"/>
      <c r="G59" s="301" t="s">
        <v>294</v>
      </c>
      <c r="H59" s="302"/>
      <c r="I59" s="65">
        <f>'Tax Rates'!B23</f>
        <v>4.1849999999999998E-2</v>
      </c>
      <c r="J59" s="47"/>
      <c r="K59" s="46">
        <f>'Tax Rates'!C23</f>
        <v>113548787</v>
      </c>
      <c r="L59" s="45" t="s">
        <v>182</v>
      </c>
      <c r="M59" s="94"/>
    </row>
    <row r="60" spans="1:13" x14ac:dyDescent="0.3">
      <c r="A60" s="41"/>
      <c r="B60" s="95" t="s">
        <v>201</v>
      </c>
      <c r="C60" s="59" t="s">
        <v>186</v>
      </c>
      <c r="D60" s="298" t="s">
        <v>295</v>
      </c>
      <c r="E60" s="299"/>
      <c r="F60" s="300"/>
      <c r="G60" s="301" t="s">
        <v>259</v>
      </c>
      <c r="H60" s="302"/>
      <c r="I60" s="65"/>
      <c r="J60" s="47"/>
      <c r="K60" s="46">
        <v>300000</v>
      </c>
      <c r="L60" s="45" t="s">
        <v>182</v>
      </c>
      <c r="M60" s="94"/>
    </row>
    <row r="61" spans="1:13" x14ac:dyDescent="0.3">
      <c r="A61" s="41"/>
      <c r="B61" s="95" t="s">
        <v>296</v>
      </c>
      <c r="C61" s="59" t="s">
        <v>186</v>
      </c>
      <c r="D61" s="298" t="s">
        <v>297</v>
      </c>
      <c r="E61" s="299"/>
      <c r="F61" s="300"/>
      <c r="G61" s="301" t="s">
        <v>259</v>
      </c>
      <c r="H61" s="302"/>
      <c r="I61" s="65"/>
      <c r="J61" s="47"/>
      <c r="K61" s="46">
        <v>46330</v>
      </c>
      <c r="L61" s="45" t="s">
        <v>182</v>
      </c>
      <c r="M61" s="94"/>
    </row>
    <row r="62" spans="1:13" x14ac:dyDescent="0.3">
      <c r="A62" s="296" t="s">
        <v>289</v>
      </c>
      <c r="B62" s="296"/>
      <c r="C62" s="296"/>
      <c r="D62" s="296"/>
      <c r="E62" s="296"/>
      <c r="F62" s="296"/>
      <c r="G62" s="296"/>
      <c r="H62" s="296"/>
      <c r="I62" s="296"/>
      <c r="J62" s="296"/>
      <c r="K62" s="66">
        <f>SUMIF($L57:$L61,"YES",$K57:$K61)</f>
        <v>225873599</v>
      </c>
      <c r="L62" s="67"/>
      <c r="M62" s="67"/>
    </row>
    <row r="63" spans="1:13" ht="15" thickBot="1" x14ac:dyDescent="0.35">
      <c r="A63" s="297" t="s">
        <v>290</v>
      </c>
      <c r="B63" s="297"/>
      <c r="C63" s="297"/>
      <c r="D63" s="297"/>
      <c r="E63" s="297"/>
      <c r="F63" s="297"/>
      <c r="G63" s="297"/>
      <c r="H63" s="297"/>
      <c r="I63" s="297"/>
      <c r="J63" s="297"/>
      <c r="K63" s="68">
        <f>K52</f>
        <v>207485270</v>
      </c>
      <c r="L63" s="56"/>
      <c r="M63" s="56"/>
    </row>
    <row r="64" spans="1:13" s="32" customFormat="1" ht="15" thickBot="1" x14ac:dyDescent="0.35">
      <c r="A64" s="307" t="str">
        <f>IF(K64&lt;0,"YOUR BUDGET EXCEEDS THE AVAILABLE REVENUE.",(IF(K64=0,"CONGRATULATIONS! YOU BALANCED YOUR BUDGET.","YOUR REVENUES EXCEED EXPENDITURES.  YOU CAN ADD MORE TO THE BUDGET.")))</f>
        <v>YOUR REVENUES EXCEED EXPENDITURES.  YOU CAN ADD MORE TO THE BUDGET.</v>
      </c>
      <c r="B64" s="308"/>
      <c r="C64" s="308"/>
      <c r="D64" s="308"/>
      <c r="E64" s="308"/>
      <c r="F64" s="308"/>
      <c r="G64" s="308"/>
      <c r="H64" s="308"/>
      <c r="I64" s="308"/>
      <c r="J64" s="308"/>
      <c r="K64" s="69">
        <f>K62-K63</f>
        <v>18388329</v>
      </c>
      <c r="L64" s="70"/>
      <c r="M64" s="71"/>
    </row>
    <row r="65" spans="1:13" x14ac:dyDescent="0.3">
      <c r="A65" s="79"/>
      <c r="B65" s="79"/>
      <c r="C65" s="79"/>
      <c r="D65" s="79"/>
      <c r="E65" s="79"/>
      <c r="F65" s="79"/>
      <c r="G65" s="79"/>
      <c r="H65" s="79"/>
      <c r="I65" s="79"/>
      <c r="J65" s="79"/>
      <c r="K65" s="79"/>
      <c r="L65" s="79"/>
      <c r="M65" s="79"/>
    </row>
    <row r="66" spans="1:13" x14ac:dyDescent="0.3">
      <c r="A66" s="79"/>
      <c r="B66" s="79"/>
      <c r="C66" s="79"/>
      <c r="D66" s="79"/>
      <c r="E66" s="79"/>
      <c r="F66" s="79"/>
      <c r="G66" s="79"/>
      <c r="H66" s="79"/>
      <c r="I66" s="79"/>
      <c r="J66" s="79"/>
      <c r="K66" s="79"/>
      <c r="L66" s="79"/>
      <c r="M66" s="79"/>
    </row>
    <row r="67" spans="1:13" x14ac:dyDescent="0.3">
      <c r="A67" s="79"/>
      <c r="B67" s="79"/>
      <c r="C67" s="79"/>
      <c r="D67" s="79"/>
      <c r="E67" s="79"/>
      <c r="F67" s="79"/>
      <c r="G67" s="79"/>
      <c r="H67" s="79"/>
      <c r="I67" s="79"/>
      <c r="J67" s="79"/>
      <c r="K67" s="79"/>
      <c r="L67" s="79"/>
      <c r="M67" s="79"/>
    </row>
    <row r="68" spans="1:13" x14ac:dyDescent="0.3">
      <c r="A68" s="79"/>
      <c r="B68" s="79"/>
      <c r="C68" s="79"/>
      <c r="D68" s="79"/>
      <c r="E68" s="79"/>
      <c r="F68" s="79"/>
      <c r="G68" s="79"/>
      <c r="H68" s="79"/>
      <c r="I68" s="79"/>
      <c r="J68" s="79"/>
      <c r="K68" s="79"/>
      <c r="L68" s="79"/>
      <c r="M68" s="79"/>
    </row>
    <row r="69" spans="1:13" x14ac:dyDescent="0.3">
      <c r="A69" s="79"/>
      <c r="B69" s="79"/>
      <c r="C69" s="79"/>
      <c r="D69" s="79"/>
      <c r="E69" s="79"/>
      <c r="F69" s="79"/>
      <c r="G69" s="79"/>
      <c r="H69" s="79"/>
      <c r="I69" s="79"/>
      <c r="J69" s="79"/>
      <c r="K69" s="79"/>
      <c r="L69" s="79"/>
      <c r="M69" s="79"/>
    </row>
    <row r="70" spans="1:13" x14ac:dyDescent="0.3">
      <c r="A70" s="79"/>
      <c r="B70" s="79"/>
      <c r="C70" s="79"/>
      <c r="D70" s="79"/>
      <c r="E70" s="79"/>
      <c r="F70" s="79"/>
      <c r="G70" s="79"/>
      <c r="H70" s="79"/>
      <c r="I70" s="79"/>
      <c r="J70" s="79"/>
      <c r="K70" s="79"/>
      <c r="L70" s="79"/>
      <c r="M70" s="79"/>
    </row>
    <row r="71" spans="1:13" x14ac:dyDescent="0.3">
      <c r="A71" s="79"/>
      <c r="B71" s="79"/>
      <c r="C71" s="79"/>
      <c r="D71" s="79"/>
      <c r="E71" s="79"/>
      <c r="F71" s="79"/>
      <c r="G71" s="79"/>
      <c r="H71" s="79"/>
      <c r="I71" s="79"/>
      <c r="J71" s="79"/>
      <c r="K71" s="79"/>
      <c r="L71" s="79"/>
      <c r="M71" s="79"/>
    </row>
    <row r="72" spans="1:13" x14ac:dyDescent="0.3">
      <c r="A72" s="79"/>
      <c r="B72" s="79"/>
      <c r="C72" s="79"/>
      <c r="D72" s="79"/>
      <c r="E72" s="79"/>
      <c r="F72" s="79"/>
      <c r="G72" s="79"/>
      <c r="H72" s="79"/>
      <c r="I72" s="79"/>
      <c r="J72" s="79"/>
      <c r="K72" s="79"/>
      <c r="L72" s="79"/>
      <c r="M72" s="79"/>
    </row>
    <row r="73" spans="1:13" x14ac:dyDescent="0.3">
      <c r="A73" s="79"/>
      <c r="B73" s="79"/>
      <c r="C73" s="79"/>
      <c r="D73" s="79"/>
      <c r="E73" s="79"/>
      <c r="F73" s="79"/>
      <c r="G73" s="79"/>
      <c r="H73" s="79"/>
      <c r="I73" s="79"/>
      <c r="J73" s="79"/>
      <c r="K73" s="79"/>
      <c r="L73" s="79"/>
      <c r="M73" s="79"/>
    </row>
    <row r="74" spans="1:13" x14ac:dyDescent="0.3">
      <c r="A74" s="79"/>
      <c r="B74" s="79"/>
      <c r="C74" s="79"/>
      <c r="D74" s="79"/>
      <c r="E74" s="79"/>
      <c r="F74" s="79"/>
      <c r="G74" s="79"/>
      <c r="H74" s="79"/>
      <c r="I74" s="79"/>
      <c r="J74" s="79"/>
      <c r="K74" s="79"/>
      <c r="L74" s="79"/>
      <c r="M74" s="79"/>
    </row>
    <row r="75" spans="1:13" x14ac:dyDescent="0.3">
      <c r="A75" s="79"/>
      <c r="B75" s="79"/>
      <c r="C75" s="79"/>
      <c r="D75" s="79"/>
      <c r="E75" s="79"/>
      <c r="F75" s="79"/>
      <c r="G75" s="79"/>
      <c r="H75" s="79"/>
      <c r="I75" s="79"/>
      <c r="J75" s="79"/>
      <c r="K75" s="79"/>
      <c r="L75" s="79"/>
      <c r="M75" s="79"/>
    </row>
    <row r="76" spans="1:13" x14ac:dyDescent="0.3">
      <c r="A76" s="79"/>
      <c r="B76" s="79"/>
      <c r="C76" s="79"/>
      <c r="D76" s="79"/>
      <c r="E76" s="79"/>
      <c r="F76" s="79"/>
      <c r="G76" s="79"/>
      <c r="H76" s="79"/>
      <c r="I76" s="79"/>
      <c r="J76" s="79"/>
      <c r="K76" s="79"/>
      <c r="L76" s="79"/>
      <c r="M76" s="79"/>
    </row>
    <row r="77" spans="1:13" x14ac:dyDescent="0.3">
      <c r="A77" s="79"/>
      <c r="B77" s="79"/>
      <c r="C77" s="79"/>
      <c r="D77" s="79"/>
      <c r="E77" s="79"/>
      <c r="F77" s="79"/>
      <c r="G77" s="79"/>
      <c r="H77" s="79"/>
      <c r="I77" s="79"/>
      <c r="J77" s="79"/>
      <c r="K77" s="79"/>
      <c r="L77" s="79"/>
      <c r="M77" s="79"/>
    </row>
    <row r="78" spans="1:13" x14ac:dyDescent="0.3">
      <c r="A78" s="79"/>
      <c r="B78" s="79"/>
      <c r="C78" s="79"/>
      <c r="D78" s="79"/>
      <c r="E78" s="79"/>
      <c r="F78" s="79"/>
      <c r="G78" s="79"/>
      <c r="H78" s="79"/>
      <c r="I78" s="79"/>
      <c r="J78" s="79"/>
      <c r="K78" s="79"/>
      <c r="L78" s="79"/>
      <c r="M78" s="79"/>
    </row>
    <row r="79" spans="1:13" x14ac:dyDescent="0.3">
      <c r="A79" s="79"/>
      <c r="B79" s="79"/>
      <c r="C79" s="79"/>
      <c r="D79" s="79"/>
      <c r="E79" s="79"/>
      <c r="F79" s="79"/>
      <c r="G79" s="79"/>
      <c r="H79" s="79"/>
      <c r="I79" s="79"/>
      <c r="J79" s="79"/>
      <c r="K79" s="79"/>
      <c r="L79" s="79"/>
      <c r="M79" s="79"/>
    </row>
    <row r="80" spans="1:13" x14ac:dyDescent="0.3">
      <c r="A80" s="79"/>
      <c r="B80" s="79"/>
      <c r="C80" s="79"/>
      <c r="D80" s="79"/>
      <c r="E80" s="79"/>
      <c r="F80" s="79"/>
      <c r="G80" s="79"/>
      <c r="H80" s="79"/>
      <c r="I80" s="79"/>
      <c r="J80" s="79"/>
      <c r="K80" s="79"/>
      <c r="L80" s="79"/>
      <c r="M80" s="79"/>
    </row>
    <row r="81" spans="1:13" x14ac:dyDescent="0.3">
      <c r="A81" s="79"/>
      <c r="B81" s="79"/>
      <c r="C81" s="79"/>
      <c r="D81" s="79"/>
      <c r="E81" s="79"/>
      <c r="F81" s="79"/>
      <c r="G81" s="79"/>
      <c r="H81" s="79"/>
      <c r="I81" s="79"/>
      <c r="J81" s="79"/>
      <c r="K81" s="79"/>
      <c r="L81" s="79"/>
      <c r="M81" s="79"/>
    </row>
    <row r="82" spans="1:13" x14ac:dyDescent="0.3">
      <c r="A82" s="79"/>
      <c r="B82" s="79"/>
      <c r="C82" s="79"/>
      <c r="D82" s="79"/>
      <c r="E82" s="79"/>
      <c r="F82" s="79"/>
      <c r="G82" s="79"/>
      <c r="H82" s="79"/>
      <c r="I82" s="79"/>
      <c r="J82" s="79"/>
      <c r="K82" s="79"/>
      <c r="L82" s="79"/>
      <c r="M82" s="79"/>
    </row>
    <row r="83" spans="1:13" x14ac:dyDescent="0.3">
      <c r="A83" s="79"/>
      <c r="B83" s="79"/>
      <c r="C83" s="79"/>
      <c r="D83" s="79"/>
      <c r="E83" s="79"/>
      <c r="F83" s="79"/>
      <c r="G83" s="79"/>
      <c r="H83" s="79"/>
      <c r="I83" s="79"/>
      <c r="J83" s="79"/>
      <c r="K83" s="79"/>
      <c r="L83" s="79"/>
      <c r="M83" s="79"/>
    </row>
  </sheetData>
  <sheetProtection algorithmName="SHA-512" hashValue="7R8QHwQjDB+RAH/RgaSo4YVFvLo9sBSM3QEl7TLGrfO2HRXjGWGKG7u9a30+TL/bng8Eo22R2rPGmZneYZLXpQ==" saltValue="mLgKND+ZQJ1WTRiaI7in5Q==" spinCount="100000" sheet="1" objects="1" scenarios="1"/>
  <mergeCells count="82">
    <mergeCell ref="D19:F19"/>
    <mergeCell ref="G19:H19"/>
    <mergeCell ref="A1:M1"/>
    <mergeCell ref="A3:M3"/>
    <mergeCell ref="A9:M9"/>
    <mergeCell ref="A17:M17"/>
    <mergeCell ref="G18:H18"/>
    <mergeCell ref="D28:F28"/>
    <mergeCell ref="G28:H28"/>
    <mergeCell ref="D20:F20"/>
    <mergeCell ref="G20:H20"/>
    <mergeCell ref="D21:F21"/>
    <mergeCell ref="G21:H21"/>
    <mergeCell ref="D22:F22"/>
    <mergeCell ref="G22:H22"/>
    <mergeCell ref="D23:F23"/>
    <mergeCell ref="G23:H23"/>
    <mergeCell ref="A26:M26"/>
    <mergeCell ref="D27:F27"/>
    <mergeCell ref="G27:H27"/>
    <mergeCell ref="D29:F29"/>
    <mergeCell ref="G29:H29"/>
    <mergeCell ref="D30:F30"/>
    <mergeCell ref="G30:H30"/>
    <mergeCell ref="D31:F31"/>
    <mergeCell ref="G31:H31"/>
    <mergeCell ref="D35:F35"/>
    <mergeCell ref="G35:H35"/>
    <mergeCell ref="D41:F41"/>
    <mergeCell ref="G41:H41"/>
    <mergeCell ref="D45:F45"/>
    <mergeCell ref="G45:H45"/>
    <mergeCell ref="G42:H42"/>
    <mergeCell ref="D46:F46"/>
    <mergeCell ref="G46:H46"/>
    <mergeCell ref="D47:F47"/>
    <mergeCell ref="G47:H47"/>
    <mergeCell ref="G36:H36"/>
    <mergeCell ref="D38:F38"/>
    <mergeCell ref="G38:H38"/>
    <mergeCell ref="D39:F39"/>
    <mergeCell ref="G39:H39"/>
    <mergeCell ref="D40:F40"/>
    <mergeCell ref="G40:H40"/>
    <mergeCell ref="D43:F43"/>
    <mergeCell ref="G43:H43"/>
    <mergeCell ref="D44:F44"/>
    <mergeCell ref="G44:H44"/>
    <mergeCell ref="D42:F42"/>
    <mergeCell ref="D48:F48"/>
    <mergeCell ref="G48:H48"/>
    <mergeCell ref="D49:F49"/>
    <mergeCell ref="G49:H49"/>
    <mergeCell ref="D50:F50"/>
    <mergeCell ref="G50:H50"/>
    <mergeCell ref="G51:H51"/>
    <mergeCell ref="A55:M55"/>
    <mergeCell ref="D56:F56"/>
    <mergeCell ref="G56:H56"/>
    <mergeCell ref="D57:F57"/>
    <mergeCell ref="G57:H57"/>
    <mergeCell ref="D61:F61"/>
    <mergeCell ref="G61:H61"/>
    <mergeCell ref="A62:J62"/>
    <mergeCell ref="A63:J63"/>
    <mergeCell ref="A64:J64"/>
    <mergeCell ref="G60:H60"/>
    <mergeCell ref="D32:F32"/>
    <mergeCell ref="G32:H32"/>
    <mergeCell ref="D33:F33"/>
    <mergeCell ref="G33:H33"/>
    <mergeCell ref="D34:F34"/>
    <mergeCell ref="G34:H34"/>
    <mergeCell ref="D37:F37"/>
    <mergeCell ref="G37:H37"/>
    <mergeCell ref="D36:F36"/>
    <mergeCell ref="D58:F58"/>
    <mergeCell ref="G58:H58"/>
    <mergeCell ref="D59:F59"/>
    <mergeCell ref="G59:H59"/>
    <mergeCell ref="D60:F60"/>
    <mergeCell ref="D51:F51"/>
  </mergeCells>
  <printOptions horizontalCentered="1"/>
  <pageMargins left="0.25" right="0.25" top="0.75" bottom="0.75" header="0.3" footer="0.3"/>
  <pageSetup scale="59" fitToHeight="0" orientation="landscape" r:id="rId1"/>
  <headerFooter>
    <oddHeader>&amp;C&amp;14COLLIN COUNTY - FY 2027 OTHER FUNDS BUILD-YOUR-OWN-BUDGET</oddHeader>
    <oddFooter>&amp;CPage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Title="Add to Recommended Budget?" prompt="Enter &quot;Yes&quot; to add to Recommended Budget. " xr:uid="{8B3675D0-75BD-4C3F-9438-1870AB3FE4A4}">
          <x14:formula1>
            <xm:f>'General Fund'!$O$1:$O$2</xm:f>
          </x14:formula1>
          <xm:sqref>L5:L6 L11:L14 L19:L23 L57:L61 L28:L51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5CFCA-CC0D-4576-AB11-E03FFD81852C}">
  <sheetPr>
    <tabColor rgb="FFFFFF00"/>
  </sheetPr>
  <dimension ref="A1:B56"/>
  <sheetViews>
    <sheetView workbookViewId="0">
      <selection activeCell="K1" sqref="K1"/>
    </sheetView>
  </sheetViews>
  <sheetFormatPr defaultRowHeight="14.4" x14ac:dyDescent="0.3"/>
  <cols>
    <col min="1" max="1" width="28.44140625" customWidth="1"/>
    <col min="2" max="2" width="12.5546875" customWidth="1"/>
  </cols>
  <sheetData>
    <row r="1" spans="1:1" x14ac:dyDescent="0.3">
      <c r="A1" t="s">
        <v>524</v>
      </c>
    </row>
    <row r="2" spans="1:1" x14ac:dyDescent="0.3">
      <c r="A2" t="s">
        <v>527</v>
      </c>
    </row>
    <row r="3" spans="1:1" x14ac:dyDescent="0.3">
      <c r="A3" t="s">
        <v>525</v>
      </c>
    </row>
    <row r="5" spans="1:1" x14ac:dyDescent="0.3">
      <c r="A5" s="221" t="s">
        <v>358</v>
      </c>
    </row>
    <row r="6" spans="1:1" x14ac:dyDescent="0.3">
      <c r="A6" s="226"/>
    </row>
    <row r="7" spans="1:1" x14ac:dyDescent="0.3">
      <c r="A7" s="285">
        <v>0.01</v>
      </c>
    </row>
    <row r="8" spans="1:1" x14ac:dyDescent="0.3">
      <c r="A8" s="285">
        <v>0.03</v>
      </c>
    </row>
    <row r="9" spans="1:1" x14ac:dyDescent="0.3">
      <c r="A9" s="285">
        <v>0</v>
      </c>
    </row>
    <row r="10" spans="1:1" x14ac:dyDescent="0.3">
      <c r="A10" s="285">
        <v>0.05</v>
      </c>
    </row>
    <row r="11" spans="1:1" x14ac:dyDescent="0.3">
      <c r="A11" s="285">
        <v>0.05</v>
      </c>
    </row>
    <row r="12" spans="1:1" x14ac:dyDescent="0.3">
      <c r="A12" s="285">
        <v>0.03</v>
      </c>
    </row>
    <row r="13" spans="1:1" x14ac:dyDescent="0.3">
      <c r="A13" s="285">
        <v>0</v>
      </c>
    </row>
    <row r="14" spans="1:1" x14ac:dyDescent="0.3">
      <c r="A14" s="238"/>
    </row>
    <row r="15" spans="1:1" x14ac:dyDescent="0.3">
      <c r="A15" s="238"/>
    </row>
    <row r="16" spans="1:1" x14ac:dyDescent="0.3">
      <c r="A16" s="238"/>
    </row>
    <row r="17" spans="1:2" x14ac:dyDescent="0.3">
      <c r="A17" s="238"/>
    </row>
    <row r="18" spans="1:2" x14ac:dyDescent="0.3">
      <c r="A18" s="287">
        <v>0</v>
      </c>
    </row>
    <row r="20" spans="1:2" x14ac:dyDescent="0.3">
      <c r="A20" t="s">
        <v>528</v>
      </c>
    </row>
    <row r="22" spans="1:2" x14ac:dyDescent="0.3">
      <c r="A22" s="293" t="s">
        <v>523</v>
      </c>
      <c r="B22" s="292">
        <v>0</v>
      </c>
    </row>
    <row r="24" spans="1:2" x14ac:dyDescent="0.3">
      <c r="A24" t="s">
        <v>529</v>
      </c>
    </row>
    <row r="26" spans="1:2" x14ac:dyDescent="0.3">
      <c r="A26" s="255" t="s">
        <v>491</v>
      </c>
    </row>
    <row r="27" spans="1:2" x14ac:dyDescent="0.3">
      <c r="A27" s="225" t="s">
        <v>492</v>
      </c>
    </row>
    <row r="28" spans="1:2" x14ac:dyDescent="0.3">
      <c r="A28" s="225" t="s">
        <v>493</v>
      </c>
    </row>
    <row r="29" spans="1:2" x14ac:dyDescent="0.3">
      <c r="A29" s="225" t="s">
        <v>495</v>
      </c>
    </row>
    <row r="30" spans="1:2" x14ac:dyDescent="0.3">
      <c r="A30" s="225" t="s">
        <v>494</v>
      </c>
    </row>
    <row r="31" spans="1:2" x14ac:dyDescent="0.3">
      <c r="A31" s="225" t="s">
        <v>496</v>
      </c>
    </row>
    <row r="32" spans="1:2" x14ac:dyDescent="0.3">
      <c r="A32" s="237"/>
    </row>
    <row r="33" spans="1:1" x14ac:dyDescent="0.3">
      <c r="A33" s="255" t="s">
        <v>387</v>
      </c>
    </row>
    <row r="34" spans="1:1" x14ac:dyDescent="0.3">
      <c r="A34" s="225" t="s">
        <v>484</v>
      </c>
    </row>
    <row r="35" spans="1:1" x14ac:dyDescent="0.3">
      <c r="A35" s="225" t="s">
        <v>485</v>
      </c>
    </row>
    <row r="36" spans="1:1" x14ac:dyDescent="0.3">
      <c r="A36" s="225" t="s">
        <v>486</v>
      </c>
    </row>
    <row r="37" spans="1:1" x14ac:dyDescent="0.3">
      <c r="A37" s="225" t="s">
        <v>384</v>
      </c>
    </row>
    <row r="38" spans="1:1" x14ac:dyDescent="0.3">
      <c r="A38" s="237"/>
    </row>
    <row r="39" spans="1:1" x14ac:dyDescent="0.3">
      <c r="A39" s="255" t="s">
        <v>388</v>
      </c>
    </row>
    <row r="40" spans="1:1" x14ac:dyDescent="0.3">
      <c r="A40" s="225" t="s">
        <v>484</v>
      </c>
    </row>
    <row r="41" spans="1:1" x14ac:dyDescent="0.3">
      <c r="A41" s="225" t="s">
        <v>485</v>
      </c>
    </row>
    <row r="42" spans="1:1" x14ac:dyDescent="0.3">
      <c r="A42" s="225" t="s">
        <v>486</v>
      </c>
    </row>
    <row r="43" spans="1:1" x14ac:dyDescent="0.3">
      <c r="A43" s="225" t="s">
        <v>384</v>
      </c>
    </row>
    <row r="44" spans="1:1" x14ac:dyDescent="0.3">
      <c r="A44" s="237"/>
    </row>
    <row r="45" spans="1:1" x14ac:dyDescent="0.3">
      <c r="A45" s="255" t="s">
        <v>487</v>
      </c>
    </row>
    <row r="46" spans="1:1" x14ac:dyDescent="0.3">
      <c r="A46" s="225" t="s">
        <v>484</v>
      </c>
    </row>
    <row r="47" spans="1:1" x14ac:dyDescent="0.3">
      <c r="A47" s="237"/>
    </row>
    <row r="48" spans="1:1" x14ac:dyDescent="0.3">
      <c r="A48" s="255" t="s">
        <v>389</v>
      </c>
    </row>
    <row r="49" spans="1:1" x14ac:dyDescent="0.3">
      <c r="A49" s="225" t="s">
        <v>484</v>
      </c>
    </row>
    <row r="50" spans="1:1" x14ac:dyDescent="0.3">
      <c r="A50" s="225" t="s">
        <v>485</v>
      </c>
    </row>
    <row r="51" spans="1:1" x14ac:dyDescent="0.3">
      <c r="A51" s="225" t="s">
        <v>486</v>
      </c>
    </row>
    <row r="52" spans="1:1" x14ac:dyDescent="0.3">
      <c r="A52" s="225" t="s">
        <v>384</v>
      </c>
    </row>
    <row r="54" spans="1:1" x14ac:dyDescent="0.3">
      <c r="A54" t="s">
        <v>526</v>
      </c>
    </row>
    <row r="56" spans="1:1" x14ac:dyDescent="0.3">
      <c r="A56" t="s">
        <v>530</v>
      </c>
    </row>
  </sheetData>
  <sheetProtection algorithmName="SHA-512" hashValue="A9JNjRn/QUzpliWCcXGb5AhXRXl4gOss6bgj9TnR/1J223GYfrMlphuR3NyHXAs3CkHP5lF5EhlufVBHf9waNA==" saltValue="X6p2e8YKVkM9soswUitb2g=="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0E5C1-D794-4054-95AB-D2772E069CDC}">
  <sheetPr>
    <tabColor theme="4" tint="0.59999389629810485"/>
    <pageSetUpPr fitToPage="1"/>
  </sheetPr>
  <dimension ref="A1:W112"/>
  <sheetViews>
    <sheetView zoomScaleNormal="100" workbookViewId="0">
      <pane xSplit="1" ySplit="6" topLeftCell="B7" activePane="bottomRight" state="frozen"/>
      <selection sqref="A1:Q1"/>
      <selection pane="topRight" sqref="A1:Q1"/>
      <selection pane="bottomLeft" sqref="A1:Q1"/>
      <selection pane="bottomRight" activeCell="M11" sqref="M11"/>
    </sheetView>
  </sheetViews>
  <sheetFormatPr defaultColWidth="9.109375" defaultRowHeight="14.4" x14ac:dyDescent="0.3"/>
  <cols>
    <col min="1" max="1" width="32" style="206" customWidth="1"/>
    <col min="2" max="2" width="16.5546875" style="206" bestFit="1" customWidth="1"/>
    <col min="3" max="5" width="16.33203125" style="206" bestFit="1" customWidth="1"/>
    <col min="6" max="6" width="16.5546875" style="206" bestFit="1" customWidth="1"/>
    <col min="7" max="8" width="17.44140625" style="206" bestFit="1" customWidth="1"/>
    <col min="9" max="9" width="16.5546875" style="206" bestFit="1" customWidth="1"/>
    <col min="10" max="10" width="16.109375" style="206" customWidth="1"/>
    <col min="11" max="11" width="16.5546875" style="206" bestFit="1" customWidth="1"/>
    <col min="12" max="12" width="5.44140625" style="206" customWidth="1"/>
    <col min="13" max="13" width="16.109375" style="206" customWidth="1"/>
    <col min="14" max="14" width="4.6640625" style="206" customWidth="1"/>
    <col min="15" max="15" width="12.5546875" style="206" bestFit="1" customWidth="1"/>
    <col min="16" max="16" width="10.109375" style="206" bestFit="1" customWidth="1"/>
    <col min="17" max="19" width="9.109375" style="206"/>
    <col min="20" max="20" width="16.109375" style="206" bestFit="1" customWidth="1"/>
    <col min="21" max="16384" width="9.109375" style="206"/>
  </cols>
  <sheetData>
    <row r="1" spans="1:23" ht="22.8" x14ac:dyDescent="0.4">
      <c r="A1" s="334" t="s">
        <v>338</v>
      </c>
      <c r="B1" s="334"/>
      <c r="C1" s="334"/>
      <c r="D1" s="334"/>
      <c r="E1" s="334"/>
      <c r="F1" s="334"/>
      <c r="G1" s="334"/>
      <c r="H1" s="334"/>
      <c r="I1" s="334"/>
      <c r="J1" s="334"/>
      <c r="K1" s="334"/>
      <c r="L1" s="203"/>
      <c r="M1" s="204"/>
      <c r="N1" s="205"/>
      <c r="O1" s="204"/>
      <c r="P1" s="204"/>
      <c r="Q1" s="204"/>
      <c r="R1" s="204"/>
      <c r="S1" s="204"/>
      <c r="T1" s="204"/>
      <c r="U1" s="204"/>
    </row>
    <row r="2" spans="1:23" ht="17.399999999999999" x14ac:dyDescent="0.3">
      <c r="A2" s="335" t="s">
        <v>339</v>
      </c>
      <c r="B2" s="335"/>
      <c r="C2" s="335"/>
      <c r="D2" s="335"/>
      <c r="E2" s="335"/>
      <c r="F2" s="335"/>
      <c r="G2" s="335"/>
      <c r="H2" s="335"/>
      <c r="I2" s="335"/>
      <c r="J2" s="335"/>
      <c r="K2" s="335"/>
      <c r="M2" s="204"/>
      <c r="N2" s="205"/>
      <c r="O2" s="204"/>
      <c r="P2" s="204"/>
      <c r="Q2" s="204"/>
      <c r="R2" s="204"/>
      <c r="S2" s="204"/>
      <c r="T2" s="204"/>
      <c r="U2" s="204"/>
    </row>
    <row r="3" spans="1:23" ht="17.399999999999999" x14ac:dyDescent="0.3">
      <c r="A3" s="335" t="s">
        <v>340</v>
      </c>
      <c r="B3" s="335"/>
      <c r="C3" s="335"/>
      <c r="D3" s="335"/>
      <c r="E3" s="335"/>
      <c r="F3" s="335"/>
      <c r="G3" s="335"/>
      <c r="H3" s="335"/>
      <c r="I3" s="335"/>
      <c r="J3" s="335"/>
      <c r="K3" s="335"/>
      <c r="M3" s="207"/>
      <c r="N3" s="207"/>
      <c r="O3" s="207"/>
      <c r="P3" s="207"/>
      <c r="Q3" s="207"/>
      <c r="R3" s="207"/>
      <c r="S3" s="204"/>
      <c r="T3" s="204"/>
      <c r="U3" s="204"/>
    </row>
    <row r="4" spans="1:23" ht="36" customHeight="1" x14ac:dyDescent="0.3">
      <c r="A4" s="336" t="s">
        <v>341</v>
      </c>
      <c r="B4" s="336"/>
      <c r="C4" s="336"/>
      <c r="D4" s="336"/>
      <c r="E4" s="336"/>
      <c r="F4" s="336"/>
      <c r="G4" s="336"/>
      <c r="H4" s="336"/>
      <c r="I4" s="336"/>
      <c r="J4" s="336"/>
      <c r="K4" s="336"/>
      <c r="M4" s="204"/>
      <c r="N4" s="204"/>
      <c r="O4" s="204"/>
      <c r="P4" s="204"/>
      <c r="Q4" s="204"/>
      <c r="R4" s="204"/>
      <c r="S4" s="204"/>
      <c r="T4" s="204"/>
      <c r="U4" s="204"/>
    </row>
    <row r="5" spans="1:23" ht="15.75" customHeight="1" x14ac:dyDescent="0.3">
      <c r="B5" s="208" t="s">
        <v>342</v>
      </c>
      <c r="C5" s="208" t="s">
        <v>343</v>
      </c>
      <c r="D5" s="208" t="s">
        <v>344</v>
      </c>
      <c r="E5" s="208" t="s">
        <v>345</v>
      </c>
      <c r="F5" s="208" t="s">
        <v>346</v>
      </c>
      <c r="G5" s="208" t="s">
        <v>347</v>
      </c>
      <c r="H5" s="208" t="s">
        <v>348</v>
      </c>
      <c r="I5" s="208" t="s">
        <v>349</v>
      </c>
      <c r="J5" s="208" t="s">
        <v>350</v>
      </c>
      <c r="K5" s="208" t="s">
        <v>351</v>
      </c>
      <c r="M5" s="204"/>
      <c r="N5" s="204"/>
      <c r="O5" s="204"/>
      <c r="P5" s="204"/>
      <c r="Q5" s="204"/>
      <c r="R5" s="204"/>
      <c r="S5" s="204"/>
      <c r="T5" s="204"/>
      <c r="U5" s="204"/>
    </row>
    <row r="6" spans="1:23" s="209" customFormat="1" ht="29.4" customHeight="1" x14ac:dyDescent="0.3">
      <c r="B6" s="210" t="s">
        <v>352</v>
      </c>
      <c r="C6" s="210" t="s">
        <v>352</v>
      </c>
      <c r="D6" s="210" t="s">
        <v>352</v>
      </c>
      <c r="E6" s="210" t="s">
        <v>353</v>
      </c>
      <c r="F6" s="210" t="s">
        <v>488</v>
      </c>
      <c r="G6" s="210" t="s">
        <v>354</v>
      </c>
      <c r="H6" s="210" t="s">
        <v>354</v>
      </c>
      <c r="I6" s="210" t="s">
        <v>354</v>
      </c>
      <c r="J6" s="210" t="s">
        <v>354</v>
      </c>
      <c r="K6" s="210" t="s">
        <v>354</v>
      </c>
      <c r="M6" s="211"/>
      <c r="N6" s="211"/>
      <c r="O6" s="211"/>
      <c r="P6" s="211"/>
      <c r="Q6" s="211"/>
      <c r="R6" s="211"/>
      <c r="S6" s="211"/>
      <c r="T6" s="211"/>
      <c r="U6" s="211"/>
    </row>
    <row r="7" spans="1:23" s="212" customFormat="1" x14ac:dyDescent="0.3">
      <c r="B7" s="213"/>
      <c r="C7" s="213"/>
      <c r="D7" s="213"/>
      <c r="E7" s="213"/>
      <c r="F7" s="213"/>
      <c r="G7" s="213"/>
      <c r="H7" s="213"/>
      <c r="I7" s="213"/>
      <c r="J7" s="213"/>
      <c r="K7" s="213"/>
    </row>
    <row r="8" spans="1:23" ht="24.9" customHeight="1" x14ac:dyDescent="0.3">
      <c r="A8" s="214" t="s">
        <v>355</v>
      </c>
      <c r="B8" s="215">
        <v>277971224</v>
      </c>
      <c r="C8" s="215">
        <f>B93</f>
        <v>281531360.33000016</v>
      </c>
      <c r="D8" s="215">
        <f t="shared" ref="D8" si="0">C93</f>
        <v>306734831.24000037</v>
      </c>
      <c r="E8" s="215">
        <f>D93</f>
        <v>277031501.70000041</v>
      </c>
      <c r="F8" s="215">
        <f>E93</f>
        <v>262240483.55000049</v>
      </c>
      <c r="G8" s="215">
        <f>F93</f>
        <v>262242131.55000043</v>
      </c>
      <c r="H8" s="215">
        <f t="shared" ref="H8:J8" si="1">G93</f>
        <v>252151438.46000046</v>
      </c>
      <c r="I8" s="215">
        <f t="shared" si="1"/>
        <v>230867351.88830042</v>
      </c>
      <c r="J8" s="215">
        <f t="shared" si="1"/>
        <v>196774944.11966687</v>
      </c>
      <c r="K8" s="215">
        <f>J93</f>
        <v>152712211.53116274</v>
      </c>
      <c r="M8" s="216"/>
    </row>
    <row r="9" spans="1:23" x14ac:dyDescent="0.3">
      <c r="B9" s="217"/>
      <c r="C9" s="218"/>
      <c r="D9" s="218"/>
      <c r="E9" s="218"/>
      <c r="F9" s="218"/>
      <c r="G9" s="218"/>
      <c r="H9" s="218"/>
      <c r="I9" s="218"/>
      <c r="J9" s="218"/>
      <c r="K9" s="218"/>
      <c r="L9" s="219"/>
      <c r="M9" s="216"/>
      <c r="O9" s="331" t="s">
        <v>356</v>
      </c>
      <c r="P9" s="332"/>
      <c r="Q9" s="333"/>
    </row>
    <row r="10" spans="1:23" x14ac:dyDescent="0.3">
      <c r="A10" s="214" t="s">
        <v>357</v>
      </c>
      <c r="B10" s="220"/>
      <c r="C10" s="220"/>
      <c r="D10" s="220"/>
      <c r="E10" s="220"/>
      <c r="F10" s="220"/>
      <c r="G10" s="220"/>
      <c r="H10" s="220"/>
      <c r="I10" s="220"/>
      <c r="J10" s="220"/>
      <c r="K10" s="220"/>
      <c r="M10" s="221" t="s">
        <v>358</v>
      </c>
      <c r="O10" s="222" t="str">
        <f>B5</f>
        <v>FY 2023</v>
      </c>
      <c r="P10" s="223" t="str">
        <f>C5</f>
        <v>FY 2024</v>
      </c>
      <c r="Q10" s="224" t="str">
        <f>D5</f>
        <v>FY 2025</v>
      </c>
    </row>
    <row r="11" spans="1:23" ht="15.75" customHeight="1" x14ac:dyDescent="0.3">
      <c r="A11" s="225" t="s">
        <v>359</v>
      </c>
      <c r="B11" s="220">
        <v>207323914.88999999</v>
      </c>
      <c r="C11" s="220">
        <v>234849184.35999998</v>
      </c>
      <c r="D11" s="220">
        <v>260414833.37</v>
      </c>
      <c r="E11" s="220">
        <f>276451103.39+1238222.04</f>
        <v>277689325.43000001</v>
      </c>
      <c r="F11" s="215">
        <f>(ROUNDUP((('Calc Your Tax Rate'!H54/100)*'General Fund'!I136)*0.9885,0))+(ROUNDUP((('Calc Your Tax Rate'!H54/100)*'General Fund'!I136)*0.0115,0))+110000</f>
        <v>288871210</v>
      </c>
      <c r="G11" s="215">
        <f>(ROUNDUP((('Calc Your Tax Rate'!$H61/100)*'Calc Your Tax Rate'!$L70)*0.9885,0))+(ROUNDUP((('Calc Your Tax Rate'!$H61/100)*'Calc Your Tax Rate'!$L70)*0.0115,0))+110000</f>
        <v>301013848</v>
      </c>
      <c r="H11" s="215">
        <f>(ROUNDUP((('Calc Your Tax Rate'!$H62/100)*'Calc Your Tax Rate'!$L71)*0.9885,0))+(ROUNDUP((('Calc Your Tax Rate'!$H62/100)*'Calc Your Tax Rate'!$L71)*0.0115,0))+110000</f>
        <v>314128944</v>
      </c>
      <c r="I11" s="215">
        <f>(ROUNDUP((('Calc Your Tax Rate'!$H63/100)*'Calc Your Tax Rate'!$L72)*0.9885,0))+(ROUNDUP((('Calc Your Tax Rate'!$H63/100)*'Calc Your Tax Rate'!$L72)*0.0115,0))+110000</f>
        <v>327881313</v>
      </c>
      <c r="J11" s="215">
        <f>(ROUNDUP((('Calc Your Tax Rate'!$H64/100)*'Calc Your Tax Rate'!$L73)*0.9885,0))+(ROUNDUP((('Calc Your Tax Rate'!$H64/100)*'Calc Your Tax Rate'!$L73)*0.0115,0))+110000</f>
        <v>342299484</v>
      </c>
      <c r="K11" s="215">
        <f>(ROUNDUP((('Calc Your Tax Rate'!$H65/100)*'Calc Your Tax Rate'!$L74)*0.9885,0))+(ROUNDUP((('Calc Your Tax Rate'!$H65/100)*'Calc Your Tax Rate'!$L74)*0.0115,0))+110000</f>
        <v>357423067</v>
      </c>
      <c r="M11" s="226"/>
      <c r="N11" s="227"/>
      <c r="O11" s="222" t="str">
        <f>C5</f>
        <v>FY 2024</v>
      </c>
      <c r="P11" s="223" t="str">
        <f>D5</f>
        <v>FY 2025</v>
      </c>
      <c r="Q11" s="224" t="str">
        <f>E5</f>
        <v>FY 2026</v>
      </c>
    </row>
    <row r="12" spans="1:23" ht="15.75" customHeight="1" x14ac:dyDescent="0.3">
      <c r="A12" s="225" t="s">
        <v>360</v>
      </c>
      <c r="B12" s="228">
        <v>23001688.200000007</v>
      </c>
      <c r="C12" s="228">
        <v>24399885.32</v>
      </c>
      <c r="D12" s="228">
        <v>24831425.640000001</v>
      </c>
      <c r="E12" s="228">
        <f>41141611.21+4000000</f>
        <v>45141611.210000001</v>
      </c>
      <c r="F12" s="229">
        <v>43150500</v>
      </c>
      <c r="G12" s="229">
        <f>F12+(F12*$M$12)</f>
        <v>43582005</v>
      </c>
      <c r="H12" s="228">
        <f t="shared" ref="H12:K12" si="2">G12+(G12*$M$12)</f>
        <v>44017825.049999997</v>
      </c>
      <c r="I12" s="228">
        <f t="shared" si="2"/>
        <v>44458003.300499998</v>
      </c>
      <c r="J12" s="228">
        <f t="shared" si="2"/>
        <v>44902583.333504997</v>
      </c>
      <c r="K12" s="228">
        <f t="shared" si="2"/>
        <v>45351609.166840047</v>
      </c>
      <c r="L12" s="230"/>
      <c r="M12" s="285">
        <v>0.01</v>
      </c>
      <c r="N12" s="230"/>
      <c r="O12" s="231">
        <f>C12/B12-1</f>
        <v>6.0786717385378441E-2</v>
      </c>
      <c r="P12" s="232">
        <f>D12/C12-1</f>
        <v>1.7686161813485146E-2</v>
      </c>
      <c r="Q12" s="233">
        <f>E12/D12-1</f>
        <v>0.81792265431925482</v>
      </c>
      <c r="S12" s="232"/>
      <c r="T12" s="232"/>
      <c r="U12" s="232"/>
      <c r="V12" s="232"/>
      <c r="W12" s="232"/>
    </row>
    <row r="13" spans="1:23" ht="16.2" customHeight="1" x14ac:dyDescent="0.3">
      <c r="A13" s="225" t="s">
        <v>361</v>
      </c>
      <c r="B13" s="228">
        <v>1304945.03</v>
      </c>
      <c r="C13" s="228">
        <v>1333719.05</v>
      </c>
      <c r="D13" s="228">
        <v>1711682.08</v>
      </c>
      <c r="E13" s="228">
        <f>1397647.91+252731.59</f>
        <v>1650379.5</v>
      </c>
      <c r="F13" s="229">
        <v>1327500</v>
      </c>
      <c r="G13" s="229">
        <f>F13+(F13*$M$13)</f>
        <v>1367325</v>
      </c>
      <c r="H13" s="228">
        <f t="shared" ref="H13:K13" si="3">G13+(G13*$M$13)</f>
        <v>1408344.75</v>
      </c>
      <c r="I13" s="228">
        <f t="shared" si="3"/>
        <v>1450595.0925</v>
      </c>
      <c r="J13" s="228">
        <f t="shared" si="3"/>
        <v>1494112.9452750001</v>
      </c>
      <c r="K13" s="228">
        <f t="shared" si="3"/>
        <v>1538936.3336332501</v>
      </c>
      <c r="L13" s="230"/>
      <c r="M13" s="285">
        <v>0.03</v>
      </c>
      <c r="N13" s="230"/>
      <c r="O13" s="231">
        <f t="shared" ref="O13:O18" si="4">C13/B13-1</f>
        <v>2.204998627413457E-2</v>
      </c>
      <c r="P13" s="232">
        <f t="shared" ref="P13:P18" si="5">D13/C13-1</f>
        <v>0.28339029123112547</v>
      </c>
      <c r="Q13" s="233">
        <f t="shared" ref="Q13:Q18" si="6">E13/D13-1</f>
        <v>-3.5814232512149768E-2</v>
      </c>
      <c r="S13" s="232"/>
      <c r="T13" s="232"/>
      <c r="U13" s="232"/>
      <c r="V13" s="232"/>
      <c r="W13" s="232"/>
    </row>
    <row r="14" spans="1:23" ht="16.2" customHeight="1" x14ac:dyDescent="0.3">
      <c r="A14" s="225" t="s">
        <v>362</v>
      </c>
      <c r="B14" s="228">
        <v>28418.01</v>
      </c>
      <c r="C14" s="228">
        <v>42086.22</v>
      </c>
      <c r="D14" s="228">
        <v>0</v>
      </c>
      <c r="E14" s="228">
        <v>0</v>
      </c>
      <c r="F14" s="229">
        <v>0</v>
      </c>
      <c r="G14" s="228">
        <f>F14+(F14*$M$14)</f>
        <v>0</v>
      </c>
      <c r="H14" s="228">
        <f>G14+(G14*$M$14)</f>
        <v>0</v>
      </c>
      <c r="I14" s="228">
        <f t="shared" ref="I14:K14" si="7">H14+(H14*$M$14)</f>
        <v>0</v>
      </c>
      <c r="J14" s="228">
        <f t="shared" si="7"/>
        <v>0</v>
      </c>
      <c r="K14" s="228">
        <f t="shared" si="7"/>
        <v>0</v>
      </c>
      <c r="L14" s="230"/>
      <c r="M14" s="285">
        <v>0</v>
      </c>
      <c r="N14" s="230"/>
      <c r="O14" s="231">
        <f t="shared" si="4"/>
        <v>0.4809699905095397</v>
      </c>
      <c r="P14" s="232">
        <f t="shared" si="5"/>
        <v>-1</v>
      </c>
      <c r="Q14" s="233" t="e">
        <f t="shared" si="6"/>
        <v>#DIV/0!</v>
      </c>
      <c r="S14" s="232"/>
      <c r="T14" s="232"/>
      <c r="U14" s="232"/>
      <c r="V14" s="232"/>
      <c r="W14" s="232"/>
    </row>
    <row r="15" spans="1:23" ht="16.2" customHeight="1" x14ac:dyDescent="0.3">
      <c r="A15" s="225" t="s">
        <v>363</v>
      </c>
      <c r="B15" s="228">
        <v>9729233.3899999987</v>
      </c>
      <c r="C15" s="228">
        <v>9623938.6099999994</v>
      </c>
      <c r="D15" s="228">
        <v>9853097.2200000007</v>
      </c>
      <c r="E15" s="228">
        <f>7144491.68+444000</f>
        <v>7588491.6799999997</v>
      </c>
      <c r="F15" s="229">
        <v>10177400</v>
      </c>
      <c r="G15" s="228">
        <f>F15+(F15*$M$15)</f>
        <v>10686270</v>
      </c>
      <c r="H15" s="228">
        <f t="shared" ref="H15:K15" si="8">G15+(G15*$M$15)</f>
        <v>11220583.5</v>
      </c>
      <c r="I15" s="228">
        <f t="shared" si="8"/>
        <v>11781612.675000001</v>
      </c>
      <c r="J15" s="228">
        <f t="shared" si="8"/>
        <v>12370693.30875</v>
      </c>
      <c r="K15" s="228">
        <f t="shared" si="8"/>
        <v>12989227.974187501</v>
      </c>
      <c r="L15" s="230"/>
      <c r="M15" s="285">
        <v>0.05</v>
      </c>
      <c r="N15" s="230"/>
      <c r="O15" s="231">
        <f t="shared" si="4"/>
        <v>-1.0822515585680592E-2</v>
      </c>
      <c r="P15" s="232">
        <f t="shared" si="5"/>
        <v>2.3811312528727813E-2</v>
      </c>
      <c r="Q15" s="233">
        <f t="shared" si="6"/>
        <v>-0.22983692228300179</v>
      </c>
      <c r="S15" s="232"/>
      <c r="T15" s="232"/>
      <c r="U15" s="232"/>
      <c r="V15" s="232"/>
      <c r="W15" s="232"/>
    </row>
    <row r="16" spans="1:23" ht="16.2" customHeight="1" x14ac:dyDescent="0.3">
      <c r="A16" s="225" t="s">
        <v>364</v>
      </c>
      <c r="B16" s="228">
        <v>12235539.700000001</v>
      </c>
      <c r="C16" s="228">
        <v>17006342.82</v>
      </c>
      <c r="D16" s="228">
        <v>16046406.640000001</v>
      </c>
      <c r="E16" s="228">
        <f>11782336.87+46505.66+2696336.68</f>
        <v>14525179.209999999</v>
      </c>
      <c r="F16" s="229">
        <v>14869004</v>
      </c>
      <c r="G16" s="228">
        <f>F16+(F16*$M$16)</f>
        <v>15612454.199999999</v>
      </c>
      <c r="H16" s="228">
        <f t="shared" ref="H16:K16" si="9">G16+(G16*$M$16)</f>
        <v>16393076.91</v>
      </c>
      <c r="I16" s="228">
        <f t="shared" si="9"/>
        <v>17212730.7555</v>
      </c>
      <c r="J16" s="228">
        <f t="shared" si="9"/>
        <v>18073367.293274999</v>
      </c>
      <c r="K16" s="228">
        <f t="shared" si="9"/>
        <v>18977035.657938749</v>
      </c>
      <c r="L16" s="230"/>
      <c r="M16" s="285">
        <v>0.05</v>
      </c>
      <c r="N16" s="230"/>
      <c r="O16" s="231">
        <f t="shared" si="4"/>
        <v>0.38991358264319143</v>
      </c>
      <c r="P16" s="232">
        <f t="shared" si="5"/>
        <v>-5.6445773801001131E-2</v>
      </c>
      <c r="Q16" s="233">
        <f t="shared" si="6"/>
        <v>-9.480174995739743E-2</v>
      </c>
      <c r="S16" s="232"/>
      <c r="T16" s="232"/>
      <c r="U16" s="232"/>
      <c r="V16" s="232"/>
      <c r="W16" s="232"/>
    </row>
    <row r="17" spans="1:23" ht="16.2" customHeight="1" x14ac:dyDescent="0.3">
      <c r="A17" s="225" t="s">
        <v>365</v>
      </c>
      <c r="B17" s="228">
        <v>636992</v>
      </c>
      <c r="C17" s="228">
        <v>721547</v>
      </c>
      <c r="D17" s="228">
        <v>643796.69999999995</v>
      </c>
      <c r="E17" s="228">
        <v>682729.2</v>
      </c>
      <c r="F17" s="229">
        <v>710000</v>
      </c>
      <c r="G17" s="228">
        <f>F17+(F17*$M$17)</f>
        <v>731300</v>
      </c>
      <c r="H17" s="228">
        <f t="shared" ref="H17:K17" si="10">G17+(G17*$M$17)</f>
        <v>753239</v>
      </c>
      <c r="I17" s="228">
        <f t="shared" si="10"/>
        <v>775836.17</v>
      </c>
      <c r="J17" s="228">
        <f t="shared" si="10"/>
        <v>799111.25510000007</v>
      </c>
      <c r="K17" s="228">
        <f t="shared" si="10"/>
        <v>823084.59275300009</v>
      </c>
      <c r="L17" s="230"/>
      <c r="M17" s="285">
        <v>0.03</v>
      </c>
      <c r="N17" s="230"/>
      <c r="O17" s="231">
        <f t="shared" si="4"/>
        <v>0.13274107053149797</v>
      </c>
      <c r="P17" s="232">
        <f t="shared" si="5"/>
        <v>-0.10775500417852202</v>
      </c>
      <c r="Q17" s="233">
        <f t="shared" si="6"/>
        <v>6.047328294786225E-2</v>
      </c>
      <c r="S17" s="232"/>
      <c r="T17" s="232"/>
      <c r="U17" s="232"/>
      <c r="V17" s="232"/>
      <c r="W17" s="232"/>
    </row>
    <row r="18" spans="1:23" ht="16.2" customHeight="1" x14ac:dyDescent="0.3">
      <c r="A18" s="225" t="s">
        <v>366</v>
      </c>
      <c r="B18" s="229">
        <v>2625959.7200000002</v>
      </c>
      <c r="C18" s="228">
        <v>2385900.4700000002</v>
      </c>
      <c r="D18" s="228">
        <v>9762047.9800000004</v>
      </c>
      <c r="E18" s="228">
        <f>608132.78+424766.04</f>
        <v>1032898.8200000001</v>
      </c>
      <c r="F18" s="229">
        <v>593400</v>
      </c>
      <c r="G18" s="228">
        <f>F18+(F18*$M$18)</f>
        <v>593400</v>
      </c>
      <c r="H18" s="228">
        <f t="shared" ref="H18:K18" si="11">G18+(G18*$M$18)</f>
        <v>593400</v>
      </c>
      <c r="I18" s="228">
        <f t="shared" si="11"/>
        <v>593400</v>
      </c>
      <c r="J18" s="228">
        <f t="shared" si="11"/>
        <v>593400</v>
      </c>
      <c r="K18" s="228">
        <f t="shared" si="11"/>
        <v>593400</v>
      </c>
      <c r="L18" s="230"/>
      <c r="M18" s="285">
        <v>0</v>
      </c>
      <c r="N18" s="230"/>
      <c r="O18" s="234">
        <f t="shared" si="4"/>
        <v>-9.1417719842252554E-2</v>
      </c>
      <c r="P18" s="235">
        <f t="shared" si="5"/>
        <v>3.091557088297149</v>
      </c>
      <c r="Q18" s="236">
        <f t="shared" si="6"/>
        <v>-0.89419240490149687</v>
      </c>
    </row>
    <row r="19" spans="1:23" ht="4.95" customHeight="1" x14ac:dyDescent="0.3">
      <c r="A19" s="237"/>
      <c r="B19" s="228" t="s">
        <v>367</v>
      </c>
      <c r="C19" s="228" t="s">
        <v>367</v>
      </c>
      <c r="D19" s="228" t="s">
        <v>367</v>
      </c>
      <c r="E19" s="228" t="s">
        <v>367</v>
      </c>
      <c r="F19" s="228" t="s">
        <v>367</v>
      </c>
      <c r="G19" s="228" t="s">
        <v>367</v>
      </c>
      <c r="H19" s="228" t="s">
        <v>367</v>
      </c>
      <c r="I19" s="228" t="s">
        <v>367</v>
      </c>
      <c r="J19" s="228" t="s">
        <v>367</v>
      </c>
      <c r="K19" s="228" t="s">
        <v>367</v>
      </c>
      <c r="M19" s="238"/>
    </row>
    <row r="20" spans="1:23" ht="15.75" customHeight="1" x14ac:dyDescent="0.45">
      <c r="A20" s="225"/>
      <c r="B20" s="239"/>
      <c r="C20" s="239"/>
      <c r="D20" s="239"/>
      <c r="E20" s="239"/>
      <c r="F20" s="240"/>
      <c r="G20" s="240"/>
      <c r="H20" s="240"/>
      <c r="I20" s="240"/>
      <c r="J20" s="240"/>
      <c r="K20" s="240"/>
      <c r="M20" s="238"/>
      <c r="O20" s="331" t="s">
        <v>356</v>
      </c>
      <c r="P20" s="332"/>
      <c r="Q20" s="333"/>
    </row>
    <row r="21" spans="1:23" ht="15.75" customHeight="1" x14ac:dyDescent="0.3">
      <c r="A21" s="241" t="s">
        <v>368</v>
      </c>
      <c r="B21" s="242">
        <f>SUBTOTAL(9,B11:B20)</f>
        <v>256886690.93999997</v>
      </c>
      <c r="C21" s="242">
        <f t="shared" ref="C21:K21" si="12">SUBTOTAL(9,C11:C20)</f>
        <v>290362603.85000002</v>
      </c>
      <c r="D21" s="242">
        <f t="shared" si="12"/>
        <v>323263289.63</v>
      </c>
      <c r="E21" s="242">
        <f t="shared" si="12"/>
        <v>348310615.04999995</v>
      </c>
      <c r="F21" s="243">
        <f t="shared" si="12"/>
        <v>359699014</v>
      </c>
      <c r="G21" s="243">
        <f t="shared" si="12"/>
        <v>373586602.19999999</v>
      </c>
      <c r="H21" s="243">
        <f t="shared" si="12"/>
        <v>388515413.21000004</v>
      </c>
      <c r="I21" s="243">
        <f t="shared" si="12"/>
        <v>404153490.99349999</v>
      </c>
      <c r="J21" s="243">
        <f t="shared" si="12"/>
        <v>420532752.13590497</v>
      </c>
      <c r="K21" s="243">
        <f t="shared" si="12"/>
        <v>437696360.72535259</v>
      </c>
      <c r="M21" s="238"/>
      <c r="O21" s="222" t="str">
        <f>O10</f>
        <v>FY 2023</v>
      </c>
      <c r="P21" s="223" t="str">
        <f t="shared" ref="P21:Q21" si="13">P10</f>
        <v>FY 2024</v>
      </c>
      <c r="Q21" s="224" t="str">
        <f t="shared" si="13"/>
        <v>FY 2025</v>
      </c>
    </row>
    <row r="22" spans="1:23" x14ac:dyDescent="0.3">
      <c r="A22" s="244"/>
      <c r="B22" s="242"/>
      <c r="C22" s="242"/>
      <c r="D22" s="242"/>
      <c r="E22" s="242"/>
      <c r="F22" s="243"/>
      <c r="G22" s="243"/>
      <c r="H22" s="243"/>
      <c r="I22" s="243"/>
      <c r="J22" s="243"/>
      <c r="K22" s="243"/>
      <c r="M22" s="238"/>
      <c r="O22" s="222" t="str">
        <f>O11</f>
        <v>FY 2024</v>
      </c>
      <c r="P22" s="223" t="str">
        <f t="shared" ref="P22:Q22" si="14">P11</f>
        <v>FY 2025</v>
      </c>
      <c r="Q22" s="224" t="str">
        <f t="shared" si="14"/>
        <v>FY 2026</v>
      </c>
    </row>
    <row r="23" spans="1:23" x14ac:dyDescent="0.3">
      <c r="A23" s="225" t="s">
        <v>369</v>
      </c>
      <c r="B23" s="220">
        <v>908273.75</v>
      </c>
      <c r="C23" s="220">
        <v>628066.61</v>
      </c>
      <c r="D23" s="220">
        <v>444441.01</v>
      </c>
      <c r="E23" s="220">
        <v>0</v>
      </c>
      <c r="F23" s="215">
        <v>0</v>
      </c>
      <c r="G23" s="220">
        <f>F23+(F23*$M$23)</f>
        <v>0</v>
      </c>
      <c r="H23" s="220">
        <f>G23+(G23*$M23)</f>
        <v>0</v>
      </c>
      <c r="I23" s="220">
        <f t="shared" ref="I23:K23" si="15">H23+(H23*$M23)</f>
        <v>0</v>
      </c>
      <c r="J23" s="220">
        <f t="shared" si="15"/>
        <v>0</v>
      </c>
      <c r="K23" s="220">
        <f t="shared" si="15"/>
        <v>0</v>
      </c>
      <c r="L23" s="219"/>
      <c r="M23" s="287">
        <v>0</v>
      </c>
      <c r="O23" s="234">
        <f t="shared" ref="O23" si="16">C23/B23-1</f>
        <v>-0.30850516157711261</v>
      </c>
      <c r="P23" s="235">
        <f t="shared" ref="P23" si="17">D23/C23-1</f>
        <v>-0.2923664418332953</v>
      </c>
      <c r="Q23" s="236">
        <f t="shared" ref="Q23" si="18">E23/D23-1</f>
        <v>-1</v>
      </c>
    </row>
    <row r="24" spans="1:23" ht="15.75" customHeight="1" x14ac:dyDescent="0.3">
      <c r="B24" s="245"/>
      <c r="C24" s="245"/>
      <c r="D24" s="245"/>
      <c r="E24" s="246"/>
      <c r="F24" s="220"/>
      <c r="G24" s="220"/>
      <c r="H24" s="220"/>
      <c r="I24" s="220"/>
      <c r="J24" s="220"/>
      <c r="K24" s="220"/>
      <c r="L24" s="203"/>
      <c r="M24" s="247"/>
    </row>
    <row r="25" spans="1:23" ht="16.2" x14ac:dyDescent="0.45">
      <c r="A25" s="214" t="s">
        <v>370</v>
      </c>
      <c r="B25" s="248">
        <f t="shared" ref="B25:K25" si="19">SUBTOTAL(9,B8:B24)</f>
        <v>535766188.68999994</v>
      </c>
      <c r="C25" s="248">
        <f t="shared" si="19"/>
        <v>572522030.79000032</v>
      </c>
      <c r="D25" s="248">
        <f t="shared" si="19"/>
        <v>630442561.88000047</v>
      </c>
      <c r="E25" s="248">
        <f t="shared" si="19"/>
        <v>625342116.75000048</v>
      </c>
      <c r="F25" s="248">
        <f t="shared" si="19"/>
        <v>621939497.55000043</v>
      </c>
      <c r="G25" s="248">
        <f t="shared" si="19"/>
        <v>635828733.75000048</v>
      </c>
      <c r="H25" s="248">
        <f t="shared" si="19"/>
        <v>640666851.67000043</v>
      </c>
      <c r="I25" s="248">
        <f t="shared" si="19"/>
        <v>635020842.88180029</v>
      </c>
      <c r="J25" s="248">
        <f t="shared" si="19"/>
        <v>617307696.25557184</v>
      </c>
      <c r="K25" s="248">
        <f t="shared" si="19"/>
        <v>590408572.25651538</v>
      </c>
      <c r="M25" s="249"/>
      <c r="O25" s="331" t="s">
        <v>356</v>
      </c>
      <c r="P25" s="332"/>
      <c r="Q25" s="333"/>
    </row>
    <row r="26" spans="1:23" ht="16.2" x14ac:dyDescent="0.45">
      <c r="A26" s="250"/>
      <c r="B26" s="248"/>
      <c r="C26" s="248"/>
      <c r="D26" s="248"/>
      <c r="E26" s="248"/>
      <c r="F26" s="248"/>
      <c r="G26" s="248"/>
      <c r="H26" s="248"/>
      <c r="I26" s="248"/>
      <c r="J26" s="248"/>
      <c r="K26" s="248"/>
      <c r="M26" s="216"/>
      <c r="O26" s="222" t="str">
        <f t="shared" ref="O26:Q27" si="20">O10</f>
        <v>FY 2023</v>
      </c>
      <c r="P26" s="223" t="str">
        <f t="shared" si="20"/>
        <v>FY 2024</v>
      </c>
      <c r="Q26" s="224" t="str">
        <f t="shared" si="20"/>
        <v>FY 2025</v>
      </c>
    </row>
    <row r="27" spans="1:23" x14ac:dyDescent="0.3">
      <c r="A27" s="214" t="s">
        <v>371</v>
      </c>
      <c r="B27" s="242"/>
      <c r="C27" s="242"/>
      <c r="D27" s="242"/>
      <c r="E27" s="242"/>
      <c r="F27" s="218"/>
      <c r="G27" s="218"/>
      <c r="H27" s="218"/>
      <c r="I27" s="218"/>
      <c r="J27" s="218"/>
      <c r="K27" s="218"/>
      <c r="M27" s="221" t="s">
        <v>358</v>
      </c>
      <c r="O27" s="222" t="str">
        <f t="shared" si="20"/>
        <v>FY 2024</v>
      </c>
      <c r="P27" s="223" t="str">
        <f t="shared" si="20"/>
        <v>FY 2025</v>
      </c>
      <c r="Q27" s="224" t="str">
        <f t="shared" si="20"/>
        <v>FY 2026</v>
      </c>
    </row>
    <row r="28" spans="1:23" x14ac:dyDescent="0.3">
      <c r="A28" s="225" t="s">
        <v>372</v>
      </c>
      <c r="B28" s="220">
        <v>153538243.69999981</v>
      </c>
      <c r="C28" s="220">
        <v>177290609.33999997</v>
      </c>
      <c r="D28" s="215">
        <v>197261336.45000002</v>
      </c>
      <c r="E28" s="215">
        <v>214359835</v>
      </c>
      <c r="F28" s="215">
        <v>217824515</v>
      </c>
      <c r="G28" s="215">
        <f>F28+F57+F64+F65+F66+F67+((F28+F57+F64+F65+F66+F67)*$M$28)</f>
        <v>235250476.19999999</v>
      </c>
      <c r="H28" s="215">
        <f t="shared" ref="H28:K28" si="21">G28+G57+G64+G65+G66+G67+((G28+G57+G64+G65+G66+G67)*$M$28)</f>
        <v>256101778.296</v>
      </c>
      <c r="I28" s="215">
        <f t="shared" si="21"/>
        <v>277605552.55967999</v>
      </c>
      <c r="J28" s="215">
        <f>I28+I57+I64+I65+I67+((I28+I57+I64+I65+I67)*$M$28)</f>
        <v>304821956.76445436</v>
      </c>
      <c r="K28" s="215">
        <f t="shared" si="21"/>
        <v>330731161.30561072</v>
      </c>
      <c r="M28" s="285">
        <v>0.08</v>
      </c>
      <c r="O28" s="231">
        <f t="shared" ref="O28:Q31" si="22">C28/B28-1</f>
        <v>0.15469999569885795</v>
      </c>
      <c r="P28" s="232">
        <f t="shared" si="22"/>
        <v>0.11264402093458359</v>
      </c>
      <c r="Q28" s="233">
        <f t="shared" si="22"/>
        <v>8.6679421612526397E-2</v>
      </c>
      <c r="R28" s="232"/>
    </row>
    <row r="29" spans="1:23" x14ac:dyDescent="0.3">
      <c r="A29" s="225" t="s">
        <v>373</v>
      </c>
      <c r="B29" s="228">
        <v>983894.84000000043</v>
      </c>
      <c r="C29" s="228">
        <v>962345.05000000063</v>
      </c>
      <c r="D29" s="229">
        <v>1055404.7799999989</v>
      </c>
      <c r="E29" s="229">
        <v>1756169</v>
      </c>
      <c r="F29" s="229">
        <v>1786843</v>
      </c>
      <c r="G29" s="229">
        <f>F29+(F29*$M$29)</f>
        <v>1795777.2150000001</v>
      </c>
      <c r="H29" s="229">
        <f t="shared" ref="H29:K29" si="23">G29+(G29*$M$29)</f>
        <v>1804756.1010750001</v>
      </c>
      <c r="I29" s="229">
        <f t="shared" si="23"/>
        <v>1813779.8815803751</v>
      </c>
      <c r="J29" s="229">
        <f t="shared" si="23"/>
        <v>1822848.7809882769</v>
      </c>
      <c r="K29" s="229">
        <f t="shared" si="23"/>
        <v>1831963.0248932184</v>
      </c>
      <c r="M29" s="285">
        <v>5.0000000000000001E-3</v>
      </c>
      <c r="O29" s="231">
        <f t="shared" si="22"/>
        <v>-2.1902533811438474E-2</v>
      </c>
      <c r="P29" s="232">
        <f t="shared" si="22"/>
        <v>9.670100137159543E-2</v>
      </c>
      <c r="Q29" s="233">
        <f t="shared" si="22"/>
        <v>0.66397673506841781</v>
      </c>
      <c r="R29" s="232"/>
    </row>
    <row r="30" spans="1:23" x14ac:dyDescent="0.3">
      <c r="A30" s="225" t="s">
        <v>374</v>
      </c>
      <c r="B30" s="228">
        <v>65486180.589999929</v>
      </c>
      <c r="C30" s="228">
        <v>73670932.170000002</v>
      </c>
      <c r="D30" s="229">
        <v>86545412.920000032</v>
      </c>
      <c r="E30" s="229">
        <v>101264273</v>
      </c>
      <c r="F30" s="229">
        <v>107672093</v>
      </c>
      <c r="G30" s="229">
        <f>F30+F58+F59+F70+F71+F72+F73+((F30+F58+F59+F70+F71+F72)*$M$30)</f>
        <v>110363895.325</v>
      </c>
      <c r="H30" s="229">
        <f t="shared" ref="H30:K30" si="24">G30+G58+G59+G70+G71+G72+G73+((G30+G58+G59+G70+G71+G72)*$M$30)</f>
        <v>113218815.858125</v>
      </c>
      <c r="I30" s="229">
        <f t="shared" si="24"/>
        <v>116576941.15457812</v>
      </c>
      <c r="J30" s="229">
        <f t="shared" si="24"/>
        <v>119679028.85844257</v>
      </c>
      <c r="K30" s="229">
        <f t="shared" si="24"/>
        <v>122752020.57990363</v>
      </c>
      <c r="M30" s="285">
        <v>2.5000000000000001E-2</v>
      </c>
      <c r="O30" s="231">
        <f t="shared" si="22"/>
        <v>0.12498440901972407</v>
      </c>
      <c r="P30" s="232">
        <f t="shared" si="22"/>
        <v>0.1747565881247628</v>
      </c>
      <c r="Q30" s="233">
        <f t="shared" si="22"/>
        <v>0.17007094406731449</v>
      </c>
      <c r="R30" s="232"/>
      <c r="T30" s="251"/>
    </row>
    <row r="31" spans="1:23" x14ac:dyDescent="0.3">
      <c r="A31" s="237" t="s">
        <v>375</v>
      </c>
      <c r="B31" s="228">
        <v>5072771.2200000007</v>
      </c>
      <c r="C31" s="228">
        <v>7809179.040000001</v>
      </c>
      <c r="D31" s="228">
        <v>14664704.759999998</v>
      </c>
      <c r="E31" s="229">
        <v>4356753.0000000009</v>
      </c>
      <c r="F31" s="229">
        <v>7929585</v>
      </c>
      <c r="G31" s="228">
        <f>F31+(F31*$M$31)</f>
        <v>8167472.5499999998</v>
      </c>
      <c r="H31" s="228">
        <f t="shared" ref="H31:K31" si="25">G31+(G31*$M$31)</f>
        <v>8412496.7264999989</v>
      </c>
      <c r="I31" s="228">
        <f t="shared" si="25"/>
        <v>8664871.6282949988</v>
      </c>
      <c r="J31" s="228">
        <f t="shared" si="25"/>
        <v>8924817.7771438491</v>
      </c>
      <c r="K31" s="228">
        <f t="shared" si="25"/>
        <v>9192562.3104581647</v>
      </c>
      <c r="M31" s="286">
        <v>0.03</v>
      </c>
      <c r="O31" s="234">
        <f t="shared" si="22"/>
        <v>0.53943056000857847</v>
      </c>
      <c r="P31" s="235">
        <f t="shared" si="22"/>
        <v>0.87788046411598164</v>
      </c>
      <c r="Q31" s="236">
        <f t="shared" si="22"/>
        <v>-0.70290891829724078</v>
      </c>
      <c r="R31" s="232"/>
      <c r="T31" s="251"/>
    </row>
    <row r="32" spans="1:23" x14ac:dyDescent="0.3">
      <c r="A32" s="237" t="s">
        <v>376</v>
      </c>
      <c r="B32" s="228">
        <v>1121875.8600000001</v>
      </c>
      <c r="C32" s="228">
        <v>1100897.1000000001</v>
      </c>
      <c r="D32" s="228">
        <v>3584304.66</v>
      </c>
      <c r="E32" s="229">
        <v>0</v>
      </c>
      <c r="F32" s="229">
        <v>0</v>
      </c>
      <c r="G32" s="228">
        <f>F32+(F32*$M$32)</f>
        <v>0</v>
      </c>
      <c r="H32" s="228">
        <f t="shared" ref="H32:K32" si="26">G32+(G32*$M$32)</f>
        <v>0</v>
      </c>
      <c r="I32" s="228">
        <f t="shared" si="26"/>
        <v>0</v>
      </c>
      <c r="J32" s="228">
        <f t="shared" si="26"/>
        <v>0</v>
      </c>
      <c r="K32" s="228">
        <f t="shared" si="26"/>
        <v>0</v>
      </c>
      <c r="M32" s="252"/>
      <c r="O32" s="232"/>
      <c r="P32" s="232"/>
      <c r="Q32" s="232"/>
      <c r="R32" s="232"/>
    </row>
    <row r="33" spans="1:20" x14ac:dyDescent="0.3">
      <c r="A33" s="225" t="s">
        <v>377</v>
      </c>
      <c r="B33" s="228">
        <v>0</v>
      </c>
      <c r="C33" s="228">
        <v>57737</v>
      </c>
      <c r="D33" s="228">
        <v>0</v>
      </c>
      <c r="E33" s="229">
        <v>17954871</v>
      </c>
      <c r="F33" s="229">
        <v>0</v>
      </c>
      <c r="G33" s="228">
        <v>0</v>
      </c>
      <c r="H33" s="228">
        <f t="shared" ref="H33:K33" si="27">G33+(G33*$M$33)</f>
        <v>0</v>
      </c>
      <c r="I33" s="228">
        <f t="shared" si="27"/>
        <v>0</v>
      </c>
      <c r="J33" s="228">
        <f t="shared" si="27"/>
        <v>0</v>
      </c>
      <c r="K33" s="228">
        <f t="shared" si="27"/>
        <v>0</v>
      </c>
      <c r="M33" s="253"/>
      <c r="O33" s="232"/>
      <c r="P33" s="232"/>
      <c r="Q33" s="232"/>
      <c r="R33" s="232"/>
      <c r="T33" s="251"/>
    </row>
    <row r="34" spans="1:20" x14ac:dyDescent="0.3">
      <c r="A34" s="225" t="s">
        <v>378</v>
      </c>
      <c r="B34" s="228">
        <v>22944000</v>
      </c>
      <c r="C34" s="228">
        <v>0</v>
      </c>
      <c r="D34" s="228">
        <v>0</v>
      </c>
      <c r="E34" s="229">
        <v>0</v>
      </c>
      <c r="F34" s="229">
        <v>0</v>
      </c>
      <c r="G34" s="228">
        <v>0</v>
      </c>
      <c r="H34" s="228">
        <f t="shared" ref="H34:K34" si="28">G34+(G34*$M$34)</f>
        <v>0</v>
      </c>
      <c r="I34" s="228">
        <f t="shared" si="28"/>
        <v>0</v>
      </c>
      <c r="J34" s="228">
        <f t="shared" si="28"/>
        <v>0</v>
      </c>
      <c r="K34" s="228">
        <f t="shared" si="28"/>
        <v>0</v>
      </c>
      <c r="M34" s="253"/>
    </row>
    <row r="35" spans="1:20" x14ac:dyDescent="0.3">
      <c r="A35" s="225" t="s">
        <v>379</v>
      </c>
      <c r="B35" s="228">
        <v>247497.82</v>
      </c>
      <c r="C35" s="228">
        <v>385196.79</v>
      </c>
      <c r="D35" s="228">
        <v>669672.80000000005</v>
      </c>
      <c r="E35" s="229">
        <v>473598.31</v>
      </c>
      <c r="F35" s="229">
        <v>0</v>
      </c>
      <c r="G35" s="228">
        <f>F35+(F35*$M$35)</f>
        <v>0</v>
      </c>
      <c r="H35" s="228">
        <f t="shared" ref="H35:K35" si="29">G35+(G35*$M$35)</f>
        <v>0</v>
      </c>
      <c r="I35" s="228">
        <f t="shared" si="29"/>
        <v>0</v>
      </c>
      <c r="J35" s="228">
        <f t="shared" si="29"/>
        <v>0</v>
      </c>
      <c r="K35" s="228">
        <f t="shared" si="29"/>
        <v>0</v>
      </c>
      <c r="M35" s="253"/>
      <c r="O35" s="251"/>
    </row>
    <row r="36" spans="1:20" x14ac:dyDescent="0.3">
      <c r="A36" s="225" t="s">
        <v>380</v>
      </c>
      <c r="B36" s="228">
        <v>1131757.8600000001</v>
      </c>
      <c r="C36" s="228">
        <v>220505.53</v>
      </c>
      <c r="D36" s="229">
        <v>415997.81</v>
      </c>
      <c r="E36" s="229">
        <v>209131.88999999998</v>
      </c>
      <c r="F36" s="229">
        <v>0</v>
      </c>
      <c r="G36" s="228">
        <v>0</v>
      </c>
      <c r="H36" s="228">
        <f t="shared" ref="H36:K36" si="30">G36+(G36*$M$36)</f>
        <v>0</v>
      </c>
      <c r="I36" s="228">
        <f t="shared" si="30"/>
        <v>0</v>
      </c>
      <c r="J36" s="228">
        <f t="shared" si="30"/>
        <v>0</v>
      </c>
      <c r="K36" s="228">
        <f t="shared" si="30"/>
        <v>0</v>
      </c>
      <c r="M36" s="253"/>
      <c r="O36" s="251"/>
    </row>
    <row r="37" spans="1:20" ht="4.95" customHeight="1" x14ac:dyDescent="0.3">
      <c r="A37" s="237"/>
      <c r="B37" s="228" t="s">
        <v>367</v>
      </c>
      <c r="C37" s="228" t="s">
        <v>367</v>
      </c>
      <c r="D37" s="228" t="s">
        <v>367</v>
      </c>
      <c r="E37" s="228" t="s">
        <v>367</v>
      </c>
      <c r="F37" s="228" t="s">
        <v>367</v>
      </c>
      <c r="G37" s="228" t="s">
        <v>367</v>
      </c>
      <c r="H37" s="228" t="s">
        <v>367</v>
      </c>
      <c r="I37" s="228" t="s">
        <v>367</v>
      </c>
      <c r="J37" s="228" t="s">
        <v>367</v>
      </c>
      <c r="K37" s="228" t="s">
        <v>367</v>
      </c>
      <c r="M37" s="253"/>
    </row>
    <row r="38" spans="1:20" ht="16.2" x14ac:dyDescent="0.45">
      <c r="A38" s="225"/>
      <c r="B38" s="228"/>
      <c r="C38" s="228"/>
      <c r="D38" s="228"/>
      <c r="E38" s="228"/>
      <c r="F38" s="240"/>
      <c r="G38" s="240"/>
      <c r="H38" s="240"/>
      <c r="I38" s="240"/>
      <c r="J38" s="240"/>
      <c r="K38" s="240"/>
      <c r="M38" s="253"/>
      <c r="O38" s="251"/>
    </row>
    <row r="39" spans="1:20" x14ac:dyDescent="0.3">
      <c r="A39" s="241" t="s">
        <v>381</v>
      </c>
      <c r="B39" s="242">
        <f t="shared" ref="B39:K39" si="31">SUBTOTAL(9,B28:B38)</f>
        <v>250526221.88999978</v>
      </c>
      <c r="C39" s="242">
        <f t="shared" si="31"/>
        <v>261497402.01999998</v>
      </c>
      <c r="D39" s="242">
        <f t="shared" si="31"/>
        <v>304196834.18000007</v>
      </c>
      <c r="E39" s="242">
        <f t="shared" si="31"/>
        <v>340374631.19999999</v>
      </c>
      <c r="F39" s="243">
        <f t="shared" si="31"/>
        <v>335213036</v>
      </c>
      <c r="G39" s="243">
        <f t="shared" si="31"/>
        <v>355577621.29000002</v>
      </c>
      <c r="H39" s="243">
        <f t="shared" si="31"/>
        <v>379537846.9817</v>
      </c>
      <c r="I39" s="243">
        <f t="shared" si="31"/>
        <v>404661145.22413343</v>
      </c>
      <c r="J39" s="243">
        <f t="shared" si="31"/>
        <v>435248652.18102908</v>
      </c>
      <c r="K39" s="243">
        <f t="shared" si="31"/>
        <v>464507707.22086573</v>
      </c>
      <c r="M39" s="253"/>
      <c r="O39" s="251"/>
    </row>
    <row r="40" spans="1:20" x14ac:dyDescent="0.3">
      <c r="A40" s="244"/>
      <c r="B40" s="242"/>
      <c r="C40" s="242"/>
      <c r="D40" s="242"/>
      <c r="E40" s="242"/>
      <c r="F40" s="243"/>
      <c r="G40" s="243"/>
      <c r="H40" s="243"/>
      <c r="I40" s="243"/>
      <c r="J40" s="243"/>
      <c r="K40" s="243"/>
      <c r="M40" s="253"/>
    </row>
    <row r="41" spans="1:20" x14ac:dyDescent="0.3">
      <c r="A41" s="241" t="s">
        <v>382</v>
      </c>
      <c r="B41" s="220"/>
      <c r="C41" s="220"/>
      <c r="D41" s="220"/>
      <c r="E41" s="215"/>
      <c r="F41" s="215"/>
      <c r="G41" s="215"/>
      <c r="H41" s="215"/>
      <c r="I41" s="215"/>
      <c r="J41" s="215"/>
      <c r="K41" s="215"/>
      <c r="M41" s="221" t="s">
        <v>358</v>
      </c>
      <c r="O41" s="219"/>
    </row>
    <row r="42" spans="1:20" x14ac:dyDescent="0.3">
      <c r="A42" s="225" t="s">
        <v>263</v>
      </c>
      <c r="B42" s="220">
        <v>0</v>
      </c>
      <c r="C42" s="220">
        <v>0</v>
      </c>
      <c r="D42" s="215">
        <v>0</v>
      </c>
      <c r="E42" s="215">
        <v>18663622</v>
      </c>
      <c r="F42" s="215">
        <v>19138000</v>
      </c>
      <c r="G42" s="275">
        <f>F42+(F42*$M42)</f>
        <v>19329380</v>
      </c>
      <c r="H42" s="275">
        <f t="shared" ref="H42:K42" si="32">G42+(G42*$M42)</f>
        <v>19522673.800000001</v>
      </c>
      <c r="I42" s="275">
        <f>H42+(H42*$M42)</f>
        <v>19717900.538000003</v>
      </c>
      <c r="J42" s="275">
        <f t="shared" si="32"/>
        <v>19915079.543380003</v>
      </c>
      <c r="K42" s="275">
        <f t="shared" si="32"/>
        <v>20114230.338813804</v>
      </c>
      <c r="M42" s="286">
        <v>0.01</v>
      </c>
      <c r="O42" s="219"/>
    </row>
    <row r="43" spans="1:20" x14ac:dyDescent="0.3">
      <c r="A43" s="225" t="s">
        <v>523</v>
      </c>
      <c r="B43" s="228"/>
      <c r="C43" s="228"/>
      <c r="D43" s="228"/>
      <c r="E43" s="228"/>
      <c r="F43" s="292">
        <v>0</v>
      </c>
      <c r="G43" s="292">
        <v>0</v>
      </c>
      <c r="H43" s="292">
        <v>0</v>
      </c>
      <c r="I43" s="292">
        <v>0</v>
      </c>
      <c r="J43" s="292">
        <v>0</v>
      </c>
      <c r="K43" s="292">
        <v>0</v>
      </c>
      <c r="M43" s="288"/>
      <c r="O43" s="219"/>
    </row>
    <row r="44" spans="1:20" x14ac:dyDescent="0.3">
      <c r="A44" s="225" t="s">
        <v>262</v>
      </c>
      <c r="B44" s="228">
        <v>3300000</v>
      </c>
      <c r="C44" s="228">
        <v>3900000</v>
      </c>
      <c r="D44" s="228">
        <v>2000000</v>
      </c>
      <c r="E44" s="228">
        <v>3800000</v>
      </c>
      <c r="F44" s="228">
        <v>5000000</v>
      </c>
      <c r="G44" s="228">
        <v>6100000</v>
      </c>
      <c r="H44" s="228">
        <v>6600000</v>
      </c>
      <c r="I44" s="228">
        <v>6800000</v>
      </c>
      <c r="J44" s="228">
        <v>7200000</v>
      </c>
      <c r="K44" s="228">
        <v>7500000</v>
      </c>
      <c r="M44" s="254"/>
      <c r="O44" s="219"/>
    </row>
    <row r="45" spans="1:20" x14ac:dyDescent="0.3">
      <c r="A45" s="225" t="s">
        <v>295</v>
      </c>
      <c r="B45" s="228">
        <v>310000</v>
      </c>
      <c r="C45" s="228">
        <v>310000</v>
      </c>
      <c r="D45" s="228">
        <v>310000</v>
      </c>
      <c r="E45" s="228">
        <v>200256</v>
      </c>
      <c r="F45" s="228">
        <v>300000</v>
      </c>
      <c r="G45" s="228">
        <v>525000</v>
      </c>
      <c r="H45" s="228">
        <v>560000</v>
      </c>
      <c r="I45" s="228">
        <v>610000</v>
      </c>
      <c r="J45" s="228">
        <v>650000</v>
      </c>
      <c r="K45" s="228">
        <v>710000</v>
      </c>
      <c r="M45" s="254"/>
      <c r="O45" s="219"/>
    </row>
    <row r="46" spans="1:20" x14ac:dyDescent="0.3">
      <c r="A46" s="225" t="s">
        <v>297</v>
      </c>
      <c r="B46" s="228">
        <v>46330</v>
      </c>
      <c r="C46" s="228">
        <v>46330</v>
      </c>
      <c r="D46" s="228">
        <v>46330</v>
      </c>
      <c r="E46" s="228">
        <v>46330</v>
      </c>
      <c r="F46" s="228">
        <v>46330</v>
      </c>
      <c r="G46" s="228">
        <v>46330</v>
      </c>
      <c r="H46" s="228">
        <v>46330</v>
      </c>
      <c r="I46" s="228">
        <v>46330</v>
      </c>
      <c r="J46" s="228">
        <v>46330</v>
      </c>
      <c r="K46" s="228">
        <v>46330</v>
      </c>
      <c r="M46" s="254"/>
      <c r="O46" s="219"/>
    </row>
    <row r="47" spans="1:20" x14ac:dyDescent="0.3">
      <c r="A47" s="225" t="s">
        <v>383</v>
      </c>
      <c r="B47" s="228">
        <v>0</v>
      </c>
      <c r="C47" s="228">
        <v>0</v>
      </c>
      <c r="D47" s="228">
        <v>46812734</v>
      </c>
      <c r="E47" s="228">
        <v>0</v>
      </c>
      <c r="F47" s="228">
        <v>0</v>
      </c>
      <c r="G47" s="228">
        <v>0</v>
      </c>
      <c r="H47" s="228">
        <v>0</v>
      </c>
      <c r="I47" s="228">
        <v>0</v>
      </c>
      <c r="J47" s="228">
        <v>0</v>
      </c>
      <c r="K47" s="228">
        <v>0</v>
      </c>
      <c r="M47" s="254"/>
      <c r="O47" s="219"/>
    </row>
    <row r="48" spans="1:20" x14ac:dyDescent="0.3">
      <c r="A48" s="237" t="s">
        <v>384</v>
      </c>
      <c r="B48" s="228">
        <v>52275.470000000205</v>
      </c>
      <c r="C48" s="228">
        <v>33467.530000000261</v>
      </c>
      <c r="D48" s="228">
        <v>45162</v>
      </c>
      <c r="E48" s="228">
        <v>16794</v>
      </c>
      <c r="F48" s="228">
        <v>0</v>
      </c>
      <c r="G48" s="228">
        <v>0</v>
      </c>
      <c r="H48" s="228">
        <v>0</v>
      </c>
      <c r="I48" s="228">
        <v>0</v>
      </c>
      <c r="J48" s="228">
        <v>0</v>
      </c>
      <c r="K48" s="228">
        <v>0</v>
      </c>
      <c r="M48" s="254"/>
      <c r="O48" s="219"/>
    </row>
    <row r="49" spans="1:15" ht="4.95" customHeight="1" x14ac:dyDescent="0.3">
      <c r="A49" s="237"/>
      <c r="B49" s="228" t="s">
        <v>367</v>
      </c>
      <c r="C49" s="228" t="s">
        <v>367</v>
      </c>
      <c r="D49" s="228" t="s">
        <v>367</v>
      </c>
      <c r="E49" s="228" t="s">
        <v>367</v>
      </c>
      <c r="F49" s="228" t="s">
        <v>367</v>
      </c>
      <c r="G49" s="228" t="s">
        <v>367</v>
      </c>
      <c r="H49" s="228" t="s">
        <v>367</v>
      </c>
      <c r="I49" s="228" t="s">
        <v>367</v>
      </c>
      <c r="J49" s="228" t="s">
        <v>367</v>
      </c>
      <c r="K49" s="228" t="s">
        <v>367</v>
      </c>
      <c r="M49" s="253"/>
    </row>
    <row r="50" spans="1:15" ht="16.2" x14ac:dyDescent="0.45">
      <c r="A50" s="225"/>
      <c r="B50" s="228"/>
      <c r="C50" s="228"/>
      <c r="D50" s="228"/>
      <c r="E50" s="228"/>
      <c r="F50" s="240"/>
      <c r="G50" s="240"/>
      <c r="H50" s="240"/>
      <c r="I50" s="240"/>
      <c r="J50" s="240"/>
      <c r="K50" s="240"/>
      <c r="M50" s="253"/>
      <c r="O50" s="251"/>
    </row>
    <row r="51" spans="1:15" x14ac:dyDescent="0.3">
      <c r="A51" s="241" t="s">
        <v>385</v>
      </c>
      <c r="B51" s="242">
        <f>SUBTOTAL(9,B41:B50)</f>
        <v>3708605.47</v>
      </c>
      <c r="C51" s="242">
        <f t="shared" ref="C51:K51" si="33">SUBTOTAL(9,C41:C50)</f>
        <v>4289797.53</v>
      </c>
      <c r="D51" s="242">
        <f t="shared" si="33"/>
        <v>49214226</v>
      </c>
      <c r="E51" s="242">
        <f t="shared" si="33"/>
        <v>22727002</v>
      </c>
      <c r="F51" s="242">
        <f t="shared" si="33"/>
        <v>24484330</v>
      </c>
      <c r="G51" s="242">
        <f t="shared" si="33"/>
        <v>26000710</v>
      </c>
      <c r="H51" s="242">
        <f t="shared" si="33"/>
        <v>26729003.800000001</v>
      </c>
      <c r="I51" s="242">
        <f t="shared" si="33"/>
        <v>27174230.538000003</v>
      </c>
      <c r="J51" s="242">
        <f t="shared" si="33"/>
        <v>27811409.543380003</v>
      </c>
      <c r="K51" s="242">
        <f t="shared" si="33"/>
        <v>28370560.338813804</v>
      </c>
      <c r="M51" s="253"/>
      <c r="O51" s="251"/>
    </row>
    <row r="52" spans="1:15" x14ac:dyDescent="0.3">
      <c r="A52" s="244"/>
      <c r="B52" s="242"/>
      <c r="C52" s="242"/>
      <c r="D52" s="242"/>
      <c r="E52" s="242"/>
      <c r="F52" s="243"/>
      <c r="G52" s="243"/>
      <c r="H52" s="243"/>
      <c r="I52" s="243"/>
      <c r="J52" s="243"/>
      <c r="K52" s="243"/>
      <c r="M52" s="253"/>
    </row>
    <row r="53" spans="1:15" x14ac:dyDescent="0.3">
      <c r="A53" s="225"/>
      <c r="B53" s="220"/>
      <c r="C53" s="220"/>
      <c r="D53" s="215"/>
      <c r="E53" s="215"/>
      <c r="F53" s="215"/>
      <c r="G53" s="215"/>
      <c r="H53" s="215"/>
      <c r="I53" s="215"/>
      <c r="J53" s="215"/>
      <c r="K53" s="215"/>
      <c r="M53" s="253"/>
      <c r="O53" s="251"/>
    </row>
    <row r="54" spans="1:15" x14ac:dyDescent="0.3">
      <c r="A54" s="241" t="s">
        <v>386</v>
      </c>
      <c r="B54" s="242">
        <f>SUBTOTAL(9,B27:B53)+1</f>
        <v>254234828.35999978</v>
      </c>
      <c r="C54" s="242">
        <f t="shared" ref="C54:K54" si="34">SUBTOTAL(9,C27:C53)</f>
        <v>265787199.54999998</v>
      </c>
      <c r="D54" s="242">
        <f t="shared" si="34"/>
        <v>353411060.18000007</v>
      </c>
      <c r="E54" s="242">
        <f t="shared" si="34"/>
        <v>363101633.19999999</v>
      </c>
      <c r="F54" s="242">
        <f t="shared" si="34"/>
        <v>359697366</v>
      </c>
      <c r="G54" s="242">
        <f t="shared" si="34"/>
        <v>381578331.29000002</v>
      </c>
      <c r="H54" s="242">
        <f t="shared" si="34"/>
        <v>406266850.78170002</v>
      </c>
      <c r="I54" s="242">
        <f t="shared" si="34"/>
        <v>431835375.76213342</v>
      </c>
      <c r="J54" s="242">
        <f t="shared" si="34"/>
        <v>463060061.7244091</v>
      </c>
      <c r="K54" s="242">
        <f t="shared" si="34"/>
        <v>492878267.55967951</v>
      </c>
      <c r="M54" s="254"/>
    </row>
    <row r="55" spans="1:15" x14ac:dyDescent="0.3">
      <c r="A55" s="244"/>
      <c r="B55" s="220"/>
      <c r="C55" s="220"/>
      <c r="D55" s="215"/>
      <c r="E55" s="215"/>
      <c r="F55" s="215"/>
      <c r="G55" s="215"/>
      <c r="H55" s="215"/>
      <c r="I55" s="215"/>
      <c r="J55" s="215"/>
      <c r="K55" s="215"/>
      <c r="M55" s="254"/>
    </row>
    <row r="56" spans="1:15" x14ac:dyDescent="0.3">
      <c r="A56" s="255" t="s">
        <v>491</v>
      </c>
      <c r="B56" s="220"/>
      <c r="C56" s="220"/>
      <c r="D56" s="215"/>
      <c r="E56" s="215"/>
      <c r="F56" s="215"/>
      <c r="G56" s="220"/>
      <c r="J56" s="220"/>
      <c r="K56" s="220"/>
      <c r="L56" s="220"/>
    </row>
    <row r="57" spans="1:15" x14ac:dyDescent="0.3">
      <c r="A57" s="225" t="s">
        <v>492</v>
      </c>
      <c r="B57" s="229">
        <v>0</v>
      </c>
      <c r="C57" s="229">
        <v>0</v>
      </c>
      <c r="D57" s="229">
        <v>0</v>
      </c>
      <c r="E57" s="229">
        <v>0</v>
      </c>
      <c r="F57" s="229">
        <f>SUMIFS('General Fund'!J3:J94,'General Fund'!$O3:$O94,"P",'General Fund'!$L3:$L94,"YES")</f>
        <v>0</v>
      </c>
      <c r="G57" s="229">
        <v>0</v>
      </c>
      <c r="H57" s="229">
        <v>0</v>
      </c>
      <c r="I57" s="229">
        <v>0</v>
      </c>
      <c r="J57" s="229">
        <v>0</v>
      </c>
      <c r="K57" s="229">
        <v>0</v>
      </c>
      <c r="L57" s="220"/>
    </row>
    <row r="58" spans="1:15" x14ac:dyDescent="0.3">
      <c r="A58" s="225" t="s">
        <v>493</v>
      </c>
      <c r="B58" s="229">
        <v>0</v>
      </c>
      <c r="C58" s="229">
        <v>0</v>
      </c>
      <c r="D58" s="229">
        <v>0</v>
      </c>
      <c r="E58" s="229">
        <v>0</v>
      </c>
      <c r="F58" s="229">
        <f>SUMIFS('General Fund'!J3:J94,'General Fund'!$O3:$O94,"M",'General Fund'!$L3:$L94,"YES")</f>
        <v>0</v>
      </c>
      <c r="G58" s="229">
        <v>0</v>
      </c>
      <c r="H58" s="229">
        <v>0</v>
      </c>
      <c r="I58" s="229">
        <v>0</v>
      </c>
      <c r="J58" s="229">
        <v>0</v>
      </c>
      <c r="K58" s="229">
        <v>0</v>
      </c>
      <c r="L58" s="220"/>
    </row>
    <row r="59" spans="1:15" x14ac:dyDescent="0.3">
      <c r="A59" s="225" t="s">
        <v>495</v>
      </c>
      <c r="B59" s="229">
        <v>0</v>
      </c>
      <c r="C59" s="229">
        <v>0</v>
      </c>
      <c r="D59" s="229">
        <v>0</v>
      </c>
      <c r="E59" s="229">
        <v>0</v>
      </c>
      <c r="F59" s="229">
        <f>SUMIF('General Fund'!L101:L129,"YES",'General Fund'!J101:J129)</f>
        <v>0</v>
      </c>
      <c r="G59" s="229">
        <v>0</v>
      </c>
      <c r="H59" s="229">
        <v>0</v>
      </c>
      <c r="I59" s="229">
        <v>0</v>
      </c>
      <c r="J59" s="229">
        <v>0</v>
      </c>
      <c r="K59" s="229">
        <v>0</v>
      </c>
      <c r="L59" s="220"/>
    </row>
    <row r="60" spans="1:15" x14ac:dyDescent="0.3">
      <c r="A60" s="225" t="s">
        <v>494</v>
      </c>
      <c r="B60" s="229">
        <v>0</v>
      </c>
      <c r="C60" s="229">
        <v>0</v>
      </c>
      <c r="D60" s="229">
        <v>0</v>
      </c>
      <c r="E60" s="229">
        <v>0</v>
      </c>
      <c r="F60" s="229">
        <f>SUMIFS('General Fund'!I3:I94,'General Fund'!$O3:$O94,"M",'General Fund'!$L3:$L94,"YES")</f>
        <v>0</v>
      </c>
      <c r="G60" s="229">
        <v>0</v>
      </c>
      <c r="H60" s="229">
        <v>0</v>
      </c>
      <c r="I60" s="229">
        <v>0</v>
      </c>
      <c r="J60" s="229">
        <v>0</v>
      </c>
      <c r="K60" s="229">
        <v>0</v>
      </c>
      <c r="L60" s="220"/>
    </row>
    <row r="61" spans="1:15" x14ac:dyDescent="0.3">
      <c r="A61" s="225" t="s">
        <v>496</v>
      </c>
      <c r="B61" s="229">
        <v>0</v>
      </c>
      <c r="C61" s="229">
        <v>0</v>
      </c>
      <c r="D61" s="229">
        <v>0</v>
      </c>
      <c r="E61" s="229">
        <v>0</v>
      </c>
      <c r="F61" s="229">
        <f>SUMIF('General Fund'!L101:L129,"YES",'General Fund'!J101:J129)</f>
        <v>0</v>
      </c>
      <c r="G61" s="229">
        <v>0</v>
      </c>
      <c r="H61" s="229">
        <v>0</v>
      </c>
      <c r="I61" s="229">
        <v>0</v>
      </c>
      <c r="J61" s="229">
        <v>0</v>
      </c>
      <c r="K61" s="229">
        <v>0</v>
      </c>
      <c r="L61" s="220"/>
    </row>
    <row r="62" spans="1:15" ht="4.95" customHeight="1" x14ac:dyDescent="0.3">
      <c r="A62" s="237"/>
      <c r="B62" s="229">
        <v>0</v>
      </c>
      <c r="C62" s="229">
        <v>0</v>
      </c>
      <c r="D62" s="229">
        <v>0</v>
      </c>
      <c r="E62" s="229">
        <v>0</v>
      </c>
      <c r="F62" s="229">
        <v>0</v>
      </c>
      <c r="G62" s="229">
        <v>0</v>
      </c>
      <c r="H62" s="228"/>
      <c r="I62" s="228"/>
      <c r="J62" s="228"/>
      <c r="K62" s="228"/>
    </row>
    <row r="63" spans="1:15" x14ac:dyDescent="0.3">
      <c r="A63" s="255" t="s">
        <v>387</v>
      </c>
      <c r="B63" s="220"/>
      <c r="C63" s="220"/>
      <c r="D63" s="215"/>
      <c r="E63" s="215"/>
      <c r="F63" s="215"/>
      <c r="G63" s="220"/>
      <c r="J63" s="220"/>
      <c r="K63" s="220"/>
      <c r="L63" s="220"/>
    </row>
    <row r="64" spans="1:15" x14ac:dyDescent="0.3">
      <c r="A64" s="225" t="s">
        <v>484</v>
      </c>
      <c r="B64" s="229">
        <v>0</v>
      </c>
      <c r="C64" s="229">
        <v>0</v>
      </c>
      <c r="D64" s="229">
        <v>0</v>
      </c>
      <c r="E64" s="229">
        <v>0</v>
      </c>
      <c r="F64" s="229">
        <v>0</v>
      </c>
      <c r="G64" s="292">
        <v>0</v>
      </c>
      <c r="H64" s="292">
        <v>0</v>
      </c>
      <c r="I64" s="292">
        <v>3176000</v>
      </c>
      <c r="J64" s="292">
        <v>0</v>
      </c>
      <c r="K64" s="292">
        <v>0</v>
      </c>
      <c r="L64" s="220"/>
    </row>
    <row r="65" spans="1:13" x14ac:dyDescent="0.3">
      <c r="A65" s="225" t="s">
        <v>485</v>
      </c>
      <c r="B65" s="229">
        <v>0</v>
      </c>
      <c r="C65" s="229">
        <v>0</v>
      </c>
      <c r="D65" s="229">
        <v>0</v>
      </c>
      <c r="E65" s="229">
        <v>0</v>
      </c>
      <c r="F65" s="229">
        <v>0</v>
      </c>
      <c r="G65" s="292">
        <v>0</v>
      </c>
      <c r="H65" s="292">
        <v>0</v>
      </c>
      <c r="I65" s="292">
        <v>1461000</v>
      </c>
      <c r="J65" s="292">
        <v>0</v>
      </c>
      <c r="K65" s="292">
        <v>0</v>
      </c>
      <c r="L65" s="220"/>
    </row>
    <row r="66" spans="1:13" x14ac:dyDescent="0.3">
      <c r="A66" s="225" t="s">
        <v>486</v>
      </c>
      <c r="B66" s="229">
        <v>0</v>
      </c>
      <c r="C66" s="229">
        <v>0</v>
      </c>
      <c r="D66" s="229">
        <v>0</v>
      </c>
      <c r="E66" s="229">
        <v>0</v>
      </c>
      <c r="F66" s="229">
        <v>0</v>
      </c>
      <c r="G66" s="292">
        <f>'Jail Pods'!B18</f>
        <v>1880800</v>
      </c>
      <c r="H66" s="292">
        <f>'Jail Pods'!B19</f>
        <v>940400</v>
      </c>
      <c r="I66" s="292">
        <f>'Jail Pods'!B20</f>
        <v>1410600</v>
      </c>
      <c r="J66" s="292">
        <f>'Jail Pods'!B21</f>
        <v>1410600</v>
      </c>
      <c r="K66" s="292">
        <f>'Jail Pods'!B22</f>
        <v>940400</v>
      </c>
      <c r="L66" s="220"/>
    </row>
    <row r="67" spans="1:13" x14ac:dyDescent="0.3">
      <c r="A67" s="225" t="s">
        <v>384</v>
      </c>
      <c r="B67" s="229">
        <v>0</v>
      </c>
      <c r="C67" s="229">
        <v>0</v>
      </c>
      <c r="D67" s="229">
        <v>0</v>
      </c>
      <c r="E67" s="229">
        <v>0</v>
      </c>
      <c r="F67" s="229">
        <v>0</v>
      </c>
      <c r="G67" s="292">
        <v>0</v>
      </c>
      <c r="H67" s="292">
        <v>0</v>
      </c>
      <c r="I67" s="292">
        <v>0</v>
      </c>
      <c r="J67" s="292">
        <v>0</v>
      </c>
      <c r="K67" s="292">
        <v>0</v>
      </c>
      <c r="L67" s="220"/>
    </row>
    <row r="68" spans="1:13" ht="4.95" customHeight="1" x14ac:dyDescent="0.3">
      <c r="A68" s="237"/>
      <c r="B68" s="229">
        <v>0</v>
      </c>
      <c r="C68" s="229">
        <v>0</v>
      </c>
      <c r="D68" s="229">
        <v>0</v>
      </c>
      <c r="E68" s="229">
        <v>0</v>
      </c>
      <c r="F68" s="229">
        <v>0</v>
      </c>
      <c r="G68" s="229">
        <v>0</v>
      </c>
      <c r="H68" s="228"/>
      <c r="I68" s="228"/>
      <c r="J68" s="228"/>
      <c r="K68" s="228"/>
    </row>
    <row r="69" spans="1:13" x14ac:dyDescent="0.3">
      <c r="A69" s="255" t="s">
        <v>388</v>
      </c>
      <c r="B69" s="220"/>
      <c r="C69" s="220"/>
      <c r="D69" s="215"/>
      <c r="E69" s="215"/>
      <c r="F69" s="215"/>
      <c r="G69" s="215"/>
      <c r="H69" s="228"/>
      <c r="I69" s="257"/>
      <c r="J69" s="257"/>
      <c r="K69" s="228"/>
      <c r="L69" s="228"/>
    </row>
    <row r="70" spans="1:13" x14ac:dyDescent="0.3">
      <c r="A70" s="225" t="s">
        <v>484</v>
      </c>
      <c r="B70" s="229">
        <v>0</v>
      </c>
      <c r="C70" s="229">
        <v>0</v>
      </c>
      <c r="D70" s="229">
        <v>0</v>
      </c>
      <c r="E70" s="229">
        <v>0</v>
      </c>
      <c r="F70" s="229">
        <v>0</v>
      </c>
      <c r="G70" s="292">
        <v>0</v>
      </c>
      <c r="H70" s="292">
        <v>8000</v>
      </c>
      <c r="I70" s="292">
        <v>70000</v>
      </c>
      <c r="J70" s="292">
        <v>0</v>
      </c>
      <c r="K70" s="292">
        <v>0</v>
      </c>
      <c r="L70" s="220"/>
    </row>
    <row r="71" spans="1:13" x14ac:dyDescent="0.3">
      <c r="A71" s="225" t="s">
        <v>485</v>
      </c>
      <c r="B71" s="229">
        <v>0</v>
      </c>
      <c r="C71" s="229">
        <v>0</v>
      </c>
      <c r="D71" s="229">
        <v>0</v>
      </c>
      <c r="E71" s="229">
        <v>0</v>
      </c>
      <c r="F71" s="229">
        <v>0</v>
      </c>
      <c r="G71" s="292">
        <v>0</v>
      </c>
      <c r="H71" s="292">
        <v>0</v>
      </c>
      <c r="I71" s="292">
        <v>21000</v>
      </c>
      <c r="J71" s="292">
        <v>0</v>
      </c>
      <c r="K71" s="292">
        <v>0</v>
      </c>
      <c r="L71" s="220"/>
    </row>
    <row r="72" spans="1:13" x14ac:dyDescent="0.3">
      <c r="A72" s="225" t="s">
        <v>486</v>
      </c>
      <c r="B72" s="229">
        <v>0</v>
      </c>
      <c r="C72" s="229">
        <v>0</v>
      </c>
      <c r="D72" s="229">
        <v>0</v>
      </c>
      <c r="E72" s="229">
        <v>0</v>
      </c>
      <c r="F72" s="229">
        <v>0</v>
      </c>
      <c r="G72" s="292">
        <f>'Jail Pods'!C18</f>
        <v>93486</v>
      </c>
      <c r="H72" s="292">
        <f>'Jail Pods'!C19</f>
        <v>74956</v>
      </c>
      <c r="I72" s="292">
        <f>'Jail Pods'!C20</f>
        <v>92087</v>
      </c>
      <c r="J72" s="292">
        <f>'Jail Pods'!C21</f>
        <v>79040</v>
      </c>
      <c r="K72" s="292">
        <f>'Jail Pods'!C22</f>
        <v>78998</v>
      </c>
      <c r="L72" s="220"/>
    </row>
    <row r="73" spans="1:13" x14ac:dyDescent="0.3">
      <c r="A73" s="225" t="s">
        <v>384</v>
      </c>
      <c r="B73" s="229">
        <v>0</v>
      </c>
      <c r="C73" s="229">
        <v>0</v>
      </c>
      <c r="D73" s="229">
        <v>0</v>
      </c>
      <c r="E73" s="229">
        <v>0</v>
      </c>
      <c r="F73" s="229">
        <v>0</v>
      </c>
      <c r="G73" s="292">
        <v>0</v>
      </c>
      <c r="H73" s="292">
        <f>442625</f>
        <v>442625</v>
      </c>
      <c r="I73" s="292">
        <v>0</v>
      </c>
      <c r="J73" s="292">
        <v>0</v>
      </c>
      <c r="K73" s="292">
        <v>0</v>
      </c>
      <c r="L73" s="228"/>
    </row>
    <row r="74" spans="1:13" ht="4.95" customHeight="1" x14ac:dyDescent="0.3">
      <c r="A74" s="237"/>
      <c r="B74" s="229"/>
      <c r="C74" s="229"/>
      <c r="D74" s="229"/>
      <c r="E74" s="229"/>
      <c r="F74" s="229"/>
      <c r="G74" s="229"/>
      <c r="H74" s="228"/>
      <c r="I74" s="228"/>
      <c r="J74" s="228"/>
      <c r="K74" s="228"/>
    </row>
    <row r="75" spans="1:13" x14ac:dyDescent="0.3">
      <c r="A75" s="255" t="s">
        <v>487</v>
      </c>
      <c r="B75" s="220"/>
      <c r="C75" s="220"/>
      <c r="D75" s="215"/>
      <c r="E75" s="215"/>
      <c r="F75" s="215"/>
      <c r="G75" s="215"/>
      <c r="H75" s="220"/>
      <c r="I75" s="220"/>
      <c r="J75" s="220"/>
      <c r="K75" s="220"/>
      <c r="L75" s="220"/>
    </row>
    <row r="76" spans="1:13" x14ac:dyDescent="0.3">
      <c r="A76" s="225" t="s">
        <v>484</v>
      </c>
      <c r="B76" s="229">
        <v>0</v>
      </c>
      <c r="C76" s="229">
        <v>0</v>
      </c>
      <c r="D76" s="229">
        <v>0</v>
      </c>
      <c r="E76" s="229">
        <v>0</v>
      </c>
      <c r="F76" s="229">
        <v>0</v>
      </c>
      <c r="G76" s="292">
        <v>0</v>
      </c>
      <c r="H76" s="292">
        <v>246000</v>
      </c>
      <c r="I76" s="292">
        <v>0</v>
      </c>
      <c r="J76" s="292">
        <v>0</v>
      </c>
      <c r="K76" s="292">
        <v>0</v>
      </c>
      <c r="L76" s="220"/>
      <c r="M76" s="256"/>
    </row>
    <row r="77" spans="1:13" ht="4.95" customHeight="1" x14ac:dyDescent="0.3">
      <c r="A77" s="237"/>
      <c r="B77" s="228"/>
      <c r="C77" s="228"/>
      <c r="D77" s="228"/>
      <c r="E77" s="228"/>
      <c r="F77" s="228"/>
      <c r="G77" s="228"/>
      <c r="H77" s="228"/>
      <c r="I77" s="228"/>
      <c r="J77" s="228"/>
      <c r="K77" s="228"/>
      <c r="M77" s="254"/>
    </row>
    <row r="78" spans="1:13" x14ac:dyDescent="0.3">
      <c r="A78" s="255" t="s">
        <v>389</v>
      </c>
      <c r="B78" s="220"/>
      <c r="C78" s="220"/>
      <c r="D78" s="215"/>
      <c r="E78" s="215"/>
      <c r="F78" s="215"/>
      <c r="G78" s="215"/>
      <c r="H78" s="228"/>
      <c r="I78" s="228"/>
      <c r="J78" s="228"/>
      <c r="K78" s="228"/>
      <c r="L78" s="228"/>
      <c r="M78" s="254"/>
    </row>
    <row r="79" spans="1:13" x14ac:dyDescent="0.3">
      <c r="A79" s="225" t="s">
        <v>484</v>
      </c>
      <c r="B79" s="229">
        <v>0</v>
      </c>
      <c r="C79" s="229">
        <v>0</v>
      </c>
      <c r="D79" s="229">
        <v>0</v>
      </c>
      <c r="E79" s="229">
        <v>0</v>
      </c>
      <c r="F79" s="229">
        <v>0</v>
      </c>
      <c r="G79" s="292">
        <v>0</v>
      </c>
      <c r="H79" s="292">
        <v>218000</v>
      </c>
      <c r="I79" s="292">
        <v>0</v>
      </c>
      <c r="J79" s="292">
        <v>0</v>
      </c>
      <c r="K79" s="292">
        <v>0</v>
      </c>
      <c r="L79" s="220"/>
      <c r="M79" s="256"/>
    </row>
    <row r="80" spans="1:13" x14ac:dyDescent="0.3">
      <c r="A80" s="225" t="s">
        <v>485</v>
      </c>
      <c r="B80" s="229">
        <v>0</v>
      </c>
      <c r="C80" s="229">
        <v>0</v>
      </c>
      <c r="D80" s="229">
        <v>0</v>
      </c>
      <c r="E80" s="229">
        <v>0</v>
      </c>
      <c r="F80" s="229">
        <v>0</v>
      </c>
      <c r="G80" s="292">
        <v>0</v>
      </c>
      <c r="H80" s="292">
        <v>91000</v>
      </c>
      <c r="I80" s="292">
        <v>0</v>
      </c>
      <c r="J80" s="292">
        <v>0</v>
      </c>
      <c r="K80" s="292">
        <v>0</v>
      </c>
      <c r="L80" s="220"/>
      <c r="M80" s="256"/>
    </row>
    <row r="81" spans="1:14" x14ac:dyDescent="0.3">
      <c r="A81" s="225" t="s">
        <v>486</v>
      </c>
      <c r="B81" s="229">
        <v>0</v>
      </c>
      <c r="C81" s="229">
        <v>0</v>
      </c>
      <c r="D81" s="229">
        <v>0</v>
      </c>
      <c r="E81" s="229">
        <v>0</v>
      </c>
      <c r="F81" s="229">
        <v>0</v>
      </c>
      <c r="G81" s="292">
        <f>'Jail Pods'!D18</f>
        <v>124678</v>
      </c>
      <c r="H81" s="292">
        <f>'Jail Pods'!D19</f>
        <v>115668</v>
      </c>
      <c r="I81" s="292">
        <f>'Jail Pods'!D20</f>
        <v>179836</v>
      </c>
      <c r="J81" s="292">
        <f>'Jail Pods'!D21</f>
        <v>45783</v>
      </c>
      <c r="K81" s="292">
        <f>'Jail Pods'!D22</f>
        <v>41278</v>
      </c>
      <c r="L81" s="220"/>
      <c r="M81" s="256"/>
    </row>
    <row r="82" spans="1:14" x14ac:dyDescent="0.3">
      <c r="A82" s="225" t="s">
        <v>384</v>
      </c>
      <c r="B82" s="229">
        <v>0</v>
      </c>
      <c r="C82" s="229">
        <v>0</v>
      </c>
      <c r="D82" s="229">
        <v>0</v>
      </c>
      <c r="E82" s="229">
        <v>0</v>
      </c>
      <c r="F82" s="229"/>
      <c r="G82" s="292">
        <v>0</v>
      </c>
      <c r="H82" s="292">
        <v>0</v>
      </c>
      <c r="I82" s="292">
        <v>0</v>
      </c>
      <c r="J82" s="292">
        <v>0</v>
      </c>
      <c r="K82" s="292">
        <v>0</v>
      </c>
      <c r="L82" s="228"/>
      <c r="M82" s="254"/>
    </row>
    <row r="83" spans="1:14" ht="4.95" customHeight="1" x14ac:dyDescent="0.3">
      <c r="A83" s="237"/>
      <c r="B83" s="228"/>
      <c r="C83" s="228"/>
      <c r="D83" s="228"/>
      <c r="E83" s="228"/>
      <c r="F83" s="228"/>
      <c r="G83" s="228"/>
      <c r="H83" s="228"/>
      <c r="I83" s="228"/>
      <c r="J83" s="228"/>
      <c r="K83" s="228"/>
      <c r="M83" s="254"/>
    </row>
    <row r="84" spans="1:14" x14ac:dyDescent="0.3">
      <c r="A84" s="255" t="s">
        <v>390</v>
      </c>
      <c r="B84" s="220"/>
      <c r="C84" s="220"/>
      <c r="D84" s="215"/>
      <c r="E84" s="215"/>
      <c r="F84" s="215"/>
      <c r="G84" s="215"/>
      <c r="I84" s="228"/>
      <c r="J84" s="228"/>
      <c r="K84" s="228"/>
      <c r="M84" s="254"/>
    </row>
    <row r="85" spans="1:14" x14ac:dyDescent="0.3">
      <c r="A85" s="225" t="s">
        <v>484</v>
      </c>
      <c r="B85" s="229">
        <v>0</v>
      </c>
      <c r="C85" s="229">
        <v>0</v>
      </c>
      <c r="D85" s="229">
        <v>0</v>
      </c>
      <c r="E85" s="229">
        <v>0</v>
      </c>
      <c r="F85" s="229">
        <v>0</v>
      </c>
      <c r="G85" s="292">
        <v>0</v>
      </c>
      <c r="H85" s="292">
        <v>954000</v>
      </c>
      <c r="I85" s="292">
        <v>0</v>
      </c>
      <c r="J85" s="292">
        <v>0</v>
      </c>
      <c r="K85" s="292">
        <v>0</v>
      </c>
      <c r="L85" s="220"/>
      <c r="M85" s="256"/>
    </row>
    <row r="86" spans="1:14" x14ac:dyDescent="0.3">
      <c r="A86" s="225" t="s">
        <v>485</v>
      </c>
      <c r="B86" s="229">
        <v>0</v>
      </c>
      <c r="C86" s="229">
        <v>0</v>
      </c>
      <c r="D86" s="229">
        <v>0</v>
      </c>
      <c r="E86" s="229">
        <v>0</v>
      </c>
      <c r="F86" s="229">
        <v>0</v>
      </c>
      <c r="G86" s="292">
        <v>0</v>
      </c>
      <c r="H86" s="292">
        <v>442000</v>
      </c>
      <c r="I86" s="292">
        <v>0</v>
      </c>
      <c r="J86" s="292">
        <v>0</v>
      </c>
      <c r="K86" s="292">
        <v>0</v>
      </c>
      <c r="L86" s="220"/>
      <c r="M86" s="256"/>
    </row>
    <row r="87" spans="1:14" x14ac:dyDescent="0.3">
      <c r="A87" s="225" t="s">
        <v>486</v>
      </c>
      <c r="B87" s="229">
        <v>0</v>
      </c>
      <c r="C87" s="229">
        <v>0</v>
      </c>
      <c r="D87" s="229">
        <v>0</v>
      </c>
      <c r="E87" s="229">
        <v>0</v>
      </c>
      <c r="F87" s="229">
        <v>0</v>
      </c>
      <c r="G87" s="292">
        <v>0</v>
      </c>
      <c r="H87" s="292">
        <v>0</v>
      </c>
      <c r="I87" s="292">
        <v>0</v>
      </c>
      <c r="J87" s="292">
        <v>0</v>
      </c>
      <c r="K87" s="292">
        <v>0</v>
      </c>
      <c r="L87" s="220"/>
      <c r="M87" s="256"/>
    </row>
    <row r="88" spans="1:14" x14ac:dyDescent="0.3">
      <c r="A88" s="225" t="s">
        <v>384</v>
      </c>
      <c r="B88" s="229">
        <v>0</v>
      </c>
      <c r="C88" s="229">
        <v>0</v>
      </c>
      <c r="D88" s="229">
        <v>0</v>
      </c>
      <c r="E88" s="229">
        <v>0</v>
      </c>
      <c r="F88" s="229">
        <v>0</v>
      </c>
      <c r="G88" s="292">
        <v>0</v>
      </c>
      <c r="H88" s="292">
        <v>0</v>
      </c>
      <c r="I88" s="292">
        <v>0</v>
      </c>
      <c r="J88" s="292">
        <v>0</v>
      </c>
      <c r="K88" s="292">
        <v>0</v>
      </c>
      <c r="L88" s="228"/>
      <c r="M88" s="254"/>
    </row>
    <row r="89" spans="1:14" ht="4.95" customHeight="1" x14ac:dyDescent="0.3">
      <c r="A89" s="237"/>
      <c r="B89" s="228" t="s">
        <v>367</v>
      </c>
      <c r="C89" s="228" t="s">
        <v>367</v>
      </c>
      <c r="D89" s="228" t="s">
        <v>367</v>
      </c>
      <c r="E89" s="228" t="s">
        <v>367</v>
      </c>
      <c r="F89" s="228" t="s">
        <v>367</v>
      </c>
      <c r="G89" s="228" t="s">
        <v>367</v>
      </c>
      <c r="H89" s="228" t="s">
        <v>367</v>
      </c>
      <c r="I89" s="228" t="s">
        <v>367</v>
      </c>
      <c r="J89" s="228" t="s">
        <v>367</v>
      </c>
      <c r="K89" s="228" t="s">
        <v>367</v>
      </c>
      <c r="M89" s="254"/>
    </row>
    <row r="90" spans="1:14" x14ac:dyDescent="0.3">
      <c r="A90" s="225"/>
      <c r="B90" s="220"/>
      <c r="C90" s="220"/>
      <c r="D90" s="215"/>
      <c r="E90" s="215"/>
      <c r="F90" s="215"/>
      <c r="G90" s="215"/>
      <c r="H90" s="215"/>
      <c r="I90" s="215"/>
      <c r="J90" s="215"/>
      <c r="K90" s="215"/>
      <c r="M90" s="254"/>
    </row>
    <row r="91" spans="1:14" ht="16.2" x14ac:dyDescent="0.45">
      <c r="A91" s="241" t="s">
        <v>391</v>
      </c>
      <c r="B91" s="258">
        <f>SUBTOTAL(9,B28:B90)+1</f>
        <v>254234828.35999978</v>
      </c>
      <c r="C91" s="258">
        <f t="shared" ref="C91:K91" si="35">SUBTOTAL(9,C28:C90)</f>
        <v>265787199.54999998</v>
      </c>
      <c r="D91" s="258">
        <f t="shared" si="35"/>
        <v>353411060.18000007</v>
      </c>
      <c r="E91" s="258">
        <f t="shared" si="35"/>
        <v>363101633.19999999</v>
      </c>
      <c r="F91" s="258">
        <f t="shared" si="35"/>
        <v>359697366</v>
      </c>
      <c r="G91" s="258">
        <f t="shared" si="35"/>
        <v>383677295.29000002</v>
      </c>
      <c r="H91" s="258">
        <f t="shared" si="35"/>
        <v>409799499.78170002</v>
      </c>
      <c r="I91" s="258">
        <f t="shared" si="35"/>
        <v>438245898.76213342</v>
      </c>
      <c r="J91" s="258">
        <f t="shared" si="35"/>
        <v>464595484.7244091</v>
      </c>
      <c r="K91" s="258">
        <f t="shared" si="35"/>
        <v>493938943.55967951</v>
      </c>
      <c r="L91" s="216"/>
      <c r="M91" s="253"/>
      <c r="N91" s="216"/>
    </row>
    <row r="92" spans="1:14" x14ac:dyDescent="0.3">
      <c r="L92" s="259"/>
      <c r="M92" s="260"/>
      <c r="N92" s="216"/>
    </row>
    <row r="93" spans="1:14" ht="16.2" x14ac:dyDescent="0.45">
      <c r="A93" s="241" t="s">
        <v>392</v>
      </c>
      <c r="B93" s="261">
        <f t="shared" ref="B93:K93" si="36">B25-B91</f>
        <v>281531360.33000016</v>
      </c>
      <c r="C93" s="261">
        <f t="shared" si="36"/>
        <v>306734831.24000037</v>
      </c>
      <c r="D93" s="262">
        <f t="shared" si="36"/>
        <v>277031501.70000041</v>
      </c>
      <c r="E93" s="261">
        <f t="shared" si="36"/>
        <v>262240483.55000049</v>
      </c>
      <c r="F93" s="261">
        <f t="shared" si="36"/>
        <v>262242131.55000043</v>
      </c>
      <c r="G93" s="261">
        <f t="shared" si="36"/>
        <v>252151438.46000046</v>
      </c>
      <c r="H93" s="261">
        <f t="shared" si="36"/>
        <v>230867351.88830042</v>
      </c>
      <c r="I93" s="261">
        <f t="shared" si="36"/>
        <v>196774944.11966687</v>
      </c>
      <c r="J93" s="261">
        <f t="shared" si="36"/>
        <v>152712211.53116274</v>
      </c>
      <c r="K93" s="261">
        <f t="shared" si="36"/>
        <v>96469628.696835876</v>
      </c>
      <c r="L93" s="263"/>
      <c r="M93" s="264"/>
    </row>
    <row r="94" spans="1:14" x14ac:dyDescent="0.3">
      <c r="M94" s="264"/>
    </row>
    <row r="95" spans="1:14" x14ac:dyDescent="0.3">
      <c r="A95" s="265" t="s">
        <v>393</v>
      </c>
      <c r="B95" s="220">
        <v>45776249</v>
      </c>
      <c r="C95" s="220">
        <v>45918053</v>
      </c>
      <c r="D95" s="220"/>
      <c r="E95" s="220"/>
      <c r="F95" s="220"/>
      <c r="G95" s="220"/>
      <c r="H95" s="220"/>
      <c r="I95" s="220"/>
      <c r="J95" s="220"/>
      <c r="K95" s="220"/>
      <c r="M95" s="264"/>
    </row>
    <row r="96" spans="1:14" s="267" customFormat="1" x14ac:dyDescent="0.3">
      <c r="A96" s="266" t="s">
        <v>394</v>
      </c>
      <c r="B96" s="215">
        <v>17912860</v>
      </c>
      <c r="C96" s="215">
        <v>7049925</v>
      </c>
      <c r="D96" s="215">
        <v>3769459</v>
      </c>
      <c r="E96" s="215">
        <v>1234578</v>
      </c>
      <c r="F96" s="215">
        <v>1234578</v>
      </c>
      <c r="G96" s="229">
        <f t="shared" ref="G96:G101" si="37">F96</f>
        <v>1234578</v>
      </c>
      <c r="H96" s="229"/>
      <c r="I96" s="229">
        <v>0</v>
      </c>
      <c r="J96" s="229">
        <f t="shared" ref="J96:K96" si="38">I96</f>
        <v>0</v>
      </c>
      <c r="K96" s="229">
        <f t="shared" si="38"/>
        <v>0</v>
      </c>
      <c r="M96" s="268"/>
    </row>
    <row r="97" spans="1:13" x14ac:dyDescent="0.3">
      <c r="A97" s="265" t="s">
        <v>395</v>
      </c>
      <c r="B97" s="228">
        <v>2000000</v>
      </c>
      <c r="C97" s="228">
        <v>2000000</v>
      </c>
      <c r="D97" s="228">
        <v>2000000</v>
      </c>
      <c r="E97" s="228">
        <v>2000000</v>
      </c>
      <c r="F97" s="229">
        <v>2000000</v>
      </c>
      <c r="G97" s="228">
        <f t="shared" si="37"/>
        <v>2000000</v>
      </c>
      <c r="H97" s="228">
        <f t="shared" ref="H97:K101" si="39">G97</f>
        <v>2000000</v>
      </c>
      <c r="I97" s="228">
        <f t="shared" si="39"/>
        <v>2000000</v>
      </c>
      <c r="J97" s="228">
        <f t="shared" si="39"/>
        <v>2000000</v>
      </c>
      <c r="K97" s="228">
        <f t="shared" si="39"/>
        <v>2000000</v>
      </c>
      <c r="M97" s="216"/>
    </row>
    <row r="98" spans="1:13" x14ac:dyDescent="0.3">
      <c r="A98" s="265" t="s">
        <v>396</v>
      </c>
      <c r="B98" s="228">
        <v>200000</v>
      </c>
      <c r="C98" s="228">
        <v>200000</v>
      </c>
      <c r="D98" s="228">
        <v>200000</v>
      </c>
      <c r="E98" s="228">
        <v>200000</v>
      </c>
      <c r="F98" s="229">
        <v>200000</v>
      </c>
      <c r="G98" s="228">
        <f t="shared" si="37"/>
        <v>200000</v>
      </c>
      <c r="H98" s="228">
        <f t="shared" si="39"/>
        <v>200000</v>
      </c>
      <c r="I98" s="228">
        <f t="shared" si="39"/>
        <v>200000</v>
      </c>
      <c r="J98" s="228">
        <f t="shared" si="39"/>
        <v>200000</v>
      </c>
      <c r="K98" s="228">
        <f t="shared" si="39"/>
        <v>200000</v>
      </c>
      <c r="M98" s="216"/>
    </row>
    <row r="99" spans="1:13" x14ac:dyDescent="0.3">
      <c r="A99" s="265" t="s">
        <v>397</v>
      </c>
      <c r="B99" s="228">
        <v>500000</v>
      </c>
      <c r="C99" s="228">
        <v>500000</v>
      </c>
      <c r="D99" s="228">
        <v>500000</v>
      </c>
      <c r="E99" s="228">
        <v>500000</v>
      </c>
      <c r="F99" s="229">
        <v>500000</v>
      </c>
      <c r="G99" s="228">
        <f t="shared" si="37"/>
        <v>500000</v>
      </c>
      <c r="H99" s="228">
        <f t="shared" si="39"/>
        <v>500000</v>
      </c>
      <c r="I99" s="228">
        <f t="shared" si="39"/>
        <v>500000</v>
      </c>
      <c r="J99" s="228">
        <f t="shared" si="39"/>
        <v>500000</v>
      </c>
      <c r="K99" s="228">
        <f t="shared" si="39"/>
        <v>500000</v>
      </c>
      <c r="M99" s="216"/>
    </row>
    <row r="100" spans="1:13" x14ac:dyDescent="0.3">
      <c r="A100" s="265" t="s">
        <v>398</v>
      </c>
      <c r="B100" s="228">
        <v>6000000</v>
      </c>
      <c r="C100" s="228">
        <v>6000000</v>
      </c>
      <c r="D100" s="228">
        <v>6000000</v>
      </c>
      <c r="E100" s="228">
        <v>6000000</v>
      </c>
      <c r="F100" s="229">
        <v>6000000</v>
      </c>
      <c r="G100" s="228">
        <f t="shared" si="37"/>
        <v>6000000</v>
      </c>
      <c r="H100" s="228">
        <f t="shared" si="39"/>
        <v>6000000</v>
      </c>
      <c r="I100" s="228">
        <f t="shared" si="39"/>
        <v>6000000</v>
      </c>
      <c r="J100" s="228">
        <f t="shared" si="39"/>
        <v>6000000</v>
      </c>
      <c r="K100" s="228">
        <f t="shared" si="39"/>
        <v>6000000</v>
      </c>
      <c r="M100" s="267"/>
    </row>
    <row r="101" spans="1:13" x14ac:dyDescent="0.3">
      <c r="A101" s="265" t="s">
        <v>399</v>
      </c>
      <c r="B101" s="228">
        <v>600000</v>
      </c>
      <c r="C101" s="228">
        <v>600000</v>
      </c>
      <c r="D101" s="228">
        <v>600000</v>
      </c>
      <c r="E101" s="228">
        <v>600000</v>
      </c>
      <c r="F101" s="229">
        <v>600000</v>
      </c>
      <c r="G101" s="228">
        <f t="shared" si="37"/>
        <v>600000</v>
      </c>
      <c r="H101" s="228">
        <f t="shared" si="39"/>
        <v>600000</v>
      </c>
      <c r="I101" s="228">
        <f t="shared" si="39"/>
        <v>600000</v>
      </c>
      <c r="J101" s="228">
        <f t="shared" si="39"/>
        <v>600000</v>
      </c>
      <c r="K101" s="228">
        <f t="shared" si="39"/>
        <v>600000</v>
      </c>
      <c r="M101" s="267"/>
    </row>
    <row r="102" spans="1:13" ht="4.95" customHeight="1" x14ac:dyDescent="0.3">
      <c r="A102" s="237"/>
      <c r="B102" s="228" t="s">
        <v>367</v>
      </c>
      <c r="C102" s="228" t="s">
        <v>367</v>
      </c>
      <c r="D102" s="228" t="s">
        <v>367</v>
      </c>
      <c r="E102" s="228" t="s">
        <v>367</v>
      </c>
      <c r="F102" s="228" t="s">
        <v>367</v>
      </c>
      <c r="G102" s="228" t="s">
        <v>367</v>
      </c>
      <c r="H102" s="228" t="s">
        <v>367</v>
      </c>
      <c r="I102" s="228" t="s">
        <v>367</v>
      </c>
      <c r="J102" s="228" t="s">
        <v>367</v>
      </c>
      <c r="K102" s="228" t="s">
        <v>367</v>
      </c>
      <c r="M102" s="254"/>
    </row>
    <row r="103" spans="1:13" ht="16.2" x14ac:dyDescent="0.45">
      <c r="A103" s="269"/>
      <c r="B103" s="239"/>
      <c r="C103" s="239"/>
      <c r="D103" s="239"/>
    </row>
    <row r="104" spans="1:13" x14ac:dyDescent="0.3">
      <c r="A104" s="241" t="s">
        <v>400</v>
      </c>
      <c r="B104" s="242">
        <f t="shared" ref="B104:K104" si="40">SUBTOTAL(9,B95:B103)</f>
        <v>72989109</v>
      </c>
      <c r="C104" s="242">
        <f t="shared" si="40"/>
        <v>62267978</v>
      </c>
      <c r="D104" s="242">
        <f t="shared" si="40"/>
        <v>13069459</v>
      </c>
      <c r="E104" s="242">
        <f t="shared" si="40"/>
        <v>10534578</v>
      </c>
      <c r="F104" s="242">
        <f t="shared" si="40"/>
        <v>10534578</v>
      </c>
      <c r="G104" s="242">
        <f t="shared" si="40"/>
        <v>10534578</v>
      </c>
      <c r="H104" s="242">
        <f t="shared" si="40"/>
        <v>9300000</v>
      </c>
      <c r="I104" s="242">
        <f t="shared" si="40"/>
        <v>9300000</v>
      </c>
      <c r="J104" s="242">
        <f t="shared" si="40"/>
        <v>9300000</v>
      </c>
      <c r="K104" s="242">
        <f t="shared" si="40"/>
        <v>9300000</v>
      </c>
      <c r="M104" s="227"/>
    </row>
    <row r="105" spans="1:13" ht="16.2" x14ac:dyDescent="0.45">
      <c r="A105" s="269"/>
      <c r="B105" s="239"/>
      <c r="C105" s="239"/>
      <c r="D105" s="239"/>
    </row>
    <row r="106" spans="1:13" ht="16.2" x14ac:dyDescent="0.45">
      <c r="A106" s="241" t="s">
        <v>401</v>
      </c>
      <c r="B106" s="261">
        <f t="shared" ref="B106:K106" si="41">B93-B104</f>
        <v>208542251.33000016</v>
      </c>
      <c r="C106" s="261">
        <f t="shared" si="41"/>
        <v>244466853.24000037</v>
      </c>
      <c r="D106" s="261">
        <f t="shared" si="41"/>
        <v>263962042.70000041</v>
      </c>
      <c r="E106" s="261">
        <f t="shared" si="41"/>
        <v>251705905.55000049</v>
      </c>
      <c r="F106" s="261">
        <f t="shared" si="41"/>
        <v>251707553.55000043</v>
      </c>
      <c r="G106" s="261">
        <f t="shared" si="41"/>
        <v>241616860.46000046</v>
      </c>
      <c r="H106" s="261">
        <f t="shared" si="41"/>
        <v>221567351.88830042</v>
      </c>
      <c r="I106" s="261">
        <f t="shared" si="41"/>
        <v>187474944.11966687</v>
      </c>
      <c r="J106" s="261">
        <f t="shared" si="41"/>
        <v>143412211.53116274</v>
      </c>
      <c r="K106" s="261">
        <f t="shared" si="41"/>
        <v>87169628.696835876</v>
      </c>
      <c r="L106" s="263"/>
    </row>
    <row r="107" spans="1:13" x14ac:dyDescent="0.3">
      <c r="F107" s="251"/>
    </row>
    <row r="109" spans="1:13" x14ac:dyDescent="0.3">
      <c r="A109" s="206" t="s">
        <v>402</v>
      </c>
      <c r="B109" s="263">
        <f>B91/365</f>
        <v>696533.77632876649</v>
      </c>
      <c r="C109" s="263">
        <f t="shared" ref="C109:K109" si="42">C91/365</f>
        <v>728184.1083561643</v>
      </c>
      <c r="D109" s="263">
        <f t="shared" si="42"/>
        <v>968249.47994520562</v>
      </c>
      <c r="E109" s="263">
        <f t="shared" si="42"/>
        <v>994798.99506849307</v>
      </c>
      <c r="F109" s="263">
        <f t="shared" si="42"/>
        <v>985472.23561643832</v>
      </c>
      <c r="G109" s="263">
        <f t="shared" si="42"/>
        <v>1051170.6720273974</v>
      </c>
      <c r="H109" s="263">
        <f t="shared" si="42"/>
        <v>1122738.3555663014</v>
      </c>
      <c r="I109" s="263">
        <f t="shared" si="42"/>
        <v>1200673.6952387218</v>
      </c>
      <c r="J109" s="263">
        <f t="shared" si="42"/>
        <v>1272864.34171071</v>
      </c>
      <c r="K109" s="263">
        <f t="shared" si="42"/>
        <v>1353257.3796155604</v>
      </c>
    </row>
    <row r="110" spans="1:13" x14ac:dyDescent="0.3">
      <c r="A110" s="206" t="s">
        <v>403</v>
      </c>
      <c r="B110" s="263">
        <f>B109*120</f>
        <v>83584053.159451976</v>
      </c>
      <c r="C110" s="263">
        <f t="shared" ref="C110:K110" si="43">C109*120</f>
        <v>87382093.002739713</v>
      </c>
      <c r="D110" s="263">
        <f t="shared" si="43"/>
        <v>116189937.59342468</v>
      </c>
      <c r="E110" s="263">
        <f t="shared" si="43"/>
        <v>119375879.40821917</v>
      </c>
      <c r="F110" s="263">
        <f t="shared" si="43"/>
        <v>118256668.2739726</v>
      </c>
      <c r="G110" s="263">
        <f t="shared" si="43"/>
        <v>126140480.64328769</v>
      </c>
      <c r="H110" s="263">
        <f t="shared" si="43"/>
        <v>134728602.66795617</v>
      </c>
      <c r="I110" s="263">
        <f t="shared" si="43"/>
        <v>144080843.42864662</v>
      </c>
      <c r="J110" s="263">
        <f t="shared" si="43"/>
        <v>152743721.0052852</v>
      </c>
      <c r="K110" s="263">
        <f t="shared" si="43"/>
        <v>162390885.55386725</v>
      </c>
    </row>
    <row r="111" spans="1:13" x14ac:dyDescent="0.3">
      <c r="A111" s="206" t="s">
        <v>404</v>
      </c>
      <c r="B111" s="263">
        <f>B109*180</f>
        <v>125376079.73917797</v>
      </c>
      <c r="C111" s="263">
        <f t="shared" ref="C111:K111" si="44">C109*180</f>
        <v>131073139.50410958</v>
      </c>
      <c r="D111" s="263">
        <f t="shared" si="44"/>
        <v>174284906.39013702</v>
      </c>
      <c r="E111" s="263">
        <f t="shared" si="44"/>
        <v>179063819.11232874</v>
      </c>
      <c r="F111" s="263">
        <f t="shared" si="44"/>
        <v>177385002.41095889</v>
      </c>
      <c r="G111" s="263">
        <f t="shared" si="44"/>
        <v>189210720.96493155</v>
      </c>
      <c r="H111" s="263">
        <f t="shared" si="44"/>
        <v>202092904.00193426</v>
      </c>
      <c r="I111" s="263">
        <f t="shared" si="44"/>
        <v>216121265.14296994</v>
      </c>
      <c r="J111" s="263">
        <f t="shared" si="44"/>
        <v>229115581.50792781</v>
      </c>
      <c r="K111" s="263">
        <f t="shared" si="44"/>
        <v>243586328.33080086</v>
      </c>
    </row>
    <row r="112" spans="1:13" x14ac:dyDescent="0.3">
      <c r="A112" s="206" t="s">
        <v>405</v>
      </c>
      <c r="B112" s="270">
        <f>B106/B109</f>
        <v>299.40005555677095</v>
      </c>
      <c r="C112" s="270">
        <f t="shared" ref="C112:K112" si="45">C106/C109</f>
        <v>335.72121450421497</v>
      </c>
      <c r="D112" s="270">
        <f t="shared" si="45"/>
        <v>272.6177996139366</v>
      </c>
      <c r="E112" s="270">
        <f t="shared" si="45"/>
        <v>253.02187356217649</v>
      </c>
      <c r="F112" s="270">
        <f t="shared" si="45"/>
        <v>255.4182091112398</v>
      </c>
      <c r="G112" s="270">
        <f t="shared" si="45"/>
        <v>229.8550243929399</v>
      </c>
      <c r="H112" s="270">
        <f t="shared" si="45"/>
        <v>197.34549086153149</v>
      </c>
      <c r="I112" s="270">
        <f t="shared" si="45"/>
        <v>156.14146030107915</v>
      </c>
      <c r="J112" s="270">
        <f t="shared" si="45"/>
        <v>112.66888923796778</v>
      </c>
      <c r="K112" s="270">
        <f t="shared" si="45"/>
        <v>64.414670860024742</v>
      </c>
    </row>
  </sheetData>
  <sheetProtection algorithmName="SHA-512" hashValue="1JSu/WiLQflFOs28QZTb+BmfIZlLNaBlZ6C8QRXmuDdc/NuWcaV9XLhlPovSJRQMcftvRBehNH86l0EOnZbUwg==" saltValue="2tm716ESRGlb3yYh82bB2w==" spinCount="100000" sheet="1" objects="1" scenarios="1"/>
  <mergeCells count="7">
    <mergeCell ref="O25:Q25"/>
    <mergeCell ref="A1:K1"/>
    <mergeCell ref="A2:K2"/>
    <mergeCell ref="A3:K3"/>
    <mergeCell ref="A4:K4"/>
    <mergeCell ref="O9:Q9"/>
    <mergeCell ref="O20:Q20"/>
  </mergeCells>
  <pageMargins left="0.25" right="0.25" top="0.75" bottom="0.5" header="0.3" footer="0.3"/>
  <pageSetup scale="53" fitToHeight="0" orientation="portrait" horizontalDpi="1200" verticalDpi="1200" r:id="rId1"/>
  <headerFooter>
    <oddHeader>&amp;R&amp;F</oddHeader>
  </headerFooter>
  <ignoredErrors>
    <ignoredError sqref="F60" 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20</vt:i4>
      </vt:variant>
    </vt:vector>
  </HeadingPairs>
  <TitlesOfParts>
    <vt:vector size="32" baseType="lpstr">
      <vt:lpstr>Instrructions</vt:lpstr>
      <vt:lpstr>Admin Categories</vt:lpstr>
      <vt:lpstr>Tax Rates</vt:lpstr>
      <vt:lpstr>General Fund</vt:lpstr>
      <vt:lpstr>Road &amp; Bridge Fund</vt:lpstr>
      <vt:lpstr>Healthcare Fund</vt:lpstr>
      <vt:lpstr>Other Funds</vt:lpstr>
      <vt:lpstr>5-Year Plan Instructions</vt:lpstr>
      <vt:lpstr>GF 5-Year Estimate</vt:lpstr>
      <vt:lpstr>RB 5-Year Estimate</vt:lpstr>
      <vt:lpstr>Calc Your Tax Rate</vt:lpstr>
      <vt:lpstr>Jail Pods</vt:lpstr>
      <vt:lpstr>'RB 5-Year Estimate'!LevelDescriptions</vt:lpstr>
      <vt:lpstr>LevelDescriptions</vt:lpstr>
      <vt:lpstr>'Admin Categories'!Print_Area</vt:lpstr>
      <vt:lpstr>'Calc Your Tax Rate'!Print_Area</vt:lpstr>
      <vt:lpstr>'General Fund'!Print_Area</vt:lpstr>
      <vt:lpstr>'GF 5-Year Estimate'!Print_Area</vt:lpstr>
      <vt:lpstr>'Healthcare Fund'!Print_Area</vt:lpstr>
      <vt:lpstr>Instrructions!Print_Area</vt:lpstr>
      <vt:lpstr>'Other Funds'!Print_Area</vt:lpstr>
      <vt:lpstr>'RB 5-Year Estimate'!Print_Area</vt:lpstr>
      <vt:lpstr>'Road &amp; Bridge Fund'!Print_Area</vt:lpstr>
      <vt:lpstr>'Tax Rates'!Print_Area</vt:lpstr>
      <vt:lpstr>'Calc Your Tax Rate'!Print_Titles</vt:lpstr>
      <vt:lpstr>'General Fund'!Print_Titles</vt:lpstr>
      <vt:lpstr>'GF 5-Year Estimate'!Print_Titles</vt:lpstr>
      <vt:lpstr>'Healthcare Fund'!Print_Titles</vt:lpstr>
      <vt:lpstr>Instrructions!Print_Titles</vt:lpstr>
      <vt:lpstr>'Other Funds'!Print_Titles</vt:lpstr>
      <vt:lpstr>'RB 5-Year Estimate'!Print_Titles</vt:lpstr>
      <vt:lpstr>'Road &amp; Bridge Fund'!Print_Titles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Arris</dc:creator>
  <cp:lastModifiedBy>Monika Arris</cp:lastModifiedBy>
  <cp:lastPrinted>2026-08-14T17:28:48Z</cp:lastPrinted>
  <dcterms:created xsi:type="dcterms:W3CDTF">2026-08-12T18:26:33Z</dcterms:created>
  <dcterms:modified xsi:type="dcterms:W3CDTF">2026-08-14T23:52:52Z</dcterms:modified>
</cp:coreProperties>
</file>