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drawings/drawing13.xml" ContentType="application/vnd.openxmlformats-officedocument.drawing+xml"/>
  <Override PartName="/xl/charts/chart96.xml" ContentType="application/vnd.openxmlformats-officedocument.drawingml.chart+xml"/>
  <Override PartName="/xl/charts/chart95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drawings/drawing15.xml" ContentType="application/vnd.openxmlformats-officedocument.drawing+xml"/>
  <Override PartName="/xl/charts/chart113.xml" ContentType="application/vnd.openxmlformats-officedocument.drawingml.chart+xml"/>
  <Override PartName="/xl/charts/chart109.xml" ContentType="application/vnd.openxmlformats-officedocument.drawingml.chart+xml"/>
  <Override PartName="/xl/charts/chart108.xml" ContentType="application/vnd.openxmlformats-officedocument.drawingml.chart+xml"/>
  <Override PartName="/xl/charts/chart107.xml" ContentType="application/vnd.openxmlformats-officedocument.drawingml.chart+xml"/>
  <Override PartName="/xl/drawings/drawing14.xml" ContentType="application/vnd.openxmlformats-officedocument.drawing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89.xml" ContentType="application/vnd.openxmlformats-officedocument.drawingml.chart+xml"/>
  <Override PartName="/xl/drawings/drawing12.xml" ContentType="application/vnd.openxmlformats-officedocument.drawing+xml"/>
  <Override PartName="/xl/charts/chart88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10.xml" ContentType="application/vnd.openxmlformats-officedocument.drawing+xml"/>
  <Override PartName="/xl/charts/chart73.xml" ContentType="application/vnd.openxmlformats-officedocument.drawingml.chart+xml"/>
  <Override PartName="/xl/charts/chart69.xml" ContentType="application/vnd.openxmlformats-officedocument.drawingml.chart+xml"/>
  <Override PartName="/xl/worksheets/sheet1.xml" ContentType="application/vnd.openxmlformats-officedocument.spreadsheetml.worksheet+xml"/>
  <Override PartName="/xl/charts/chart67.xml" ContentType="application/vnd.openxmlformats-officedocument.drawingml.chart+xml"/>
  <Override PartName="/xl/charts/chart64.xml" ContentType="application/vnd.openxmlformats-officedocument.drawingml.chart+xml"/>
  <Override PartName="/xl/drawings/drawing9.xml" ContentType="application/vnd.openxmlformats-officedocument.drawing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2.xml" ContentType="application/vnd.openxmlformats-officedocument.drawingml.chart+xml"/>
  <Override PartName="/xl/charts/chart81.xml" ContentType="application/vnd.openxmlformats-officedocument.drawingml.chart+xml"/>
  <Override PartName="/xl/drawings/drawing11.xml" ContentType="application/vnd.openxmlformats-officedocument.drawing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63.xml" ContentType="application/vnd.openxmlformats-officedocument.drawingml.chart+xml"/>
  <Override PartName="/xl/charts/chart68.xml" ContentType="application/vnd.openxmlformats-officedocument.drawingml.chart+xml"/>
  <Override PartName="/xl/charts/chart61.xml" ContentType="application/vnd.openxmlformats-officedocument.drawingml.chart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theme/themeOverride5.xml" ContentType="application/vnd.openxmlformats-officedocument.themeOverride+xml"/>
  <Override PartName="/xl/charts/chart10.xml" ContentType="application/vnd.openxmlformats-officedocument.drawingml.chart+xml"/>
  <Override PartName="/xl/charts/chart8.xml" ContentType="application/vnd.openxmlformats-officedocument.drawingml.chart+xml"/>
  <Override PartName="/xl/theme/themeOverride3.xml" ContentType="application/vnd.openxmlformats-officedocument.themeOverride+xml"/>
  <Override PartName="/xl/charts/chart7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62.xml" ContentType="application/vnd.openxmlformats-officedocument.drawingml.chart+xml"/>
  <Override PartName="/xl/theme/themeOverride9.xml" ContentType="application/vnd.openxmlformats-officedocument.themeOverride+xml"/>
  <Override PartName="/xl/charts/chart18.xml" ContentType="application/vnd.openxmlformats-officedocument.drawingml.chart+xml"/>
  <Override PartName="/xl/theme/themeOverride10.xml" ContentType="application/vnd.openxmlformats-officedocument.themeOverride+xml"/>
  <Override PartName="/xl/charts/chart19.xml" ContentType="application/vnd.openxmlformats-officedocument.drawingml.chart+xml"/>
  <Override PartName="/xl/drawings/drawing3.xml" ContentType="application/vnd.openxmlformats-officedocument.drawing+xml"/>
  <Override PartName="/xl/theme/themeOverride8.xml" ContentType="application/vnd.openxmlformats-officedocument.themeOverride+xml"/>
  <Override PartName="/xl/charts/chart16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theme/themeOverride7.xml" ContentType="application/vnd.openxmlformats-officedocument.themeOverride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1.xml" ContentType="application/vnd.openxmlformats-officedocument.drawingml.char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charts/chart20.xml" ContentType="application/vnd.openxmlformats-officedocument.drawingml.chart+xml"/>
  <Override PartName="/xl/charts/chart17.xml" ContentType="application/vnd.openxmlformats-officedocument.drawingml.chart+xml"/>
  <Override PartName="/xl/charts/chart60.xml" ContentType="application/vnd.openxmlformats-officedocument.drawingml.chart+xml"/>
  <Override PartName="/xl/drawings/drawing6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0.xml" ContentType="application/vnd.openxmlformats-officedocument.drawingml.chart+xml"/>
  <Override PartName="/xl/charts/chart39.xml" ContentType="application/vnd.openxmlformats-officedocument.drawingml.chart+xml"/>
  <Override PartName="/xl/charts/chart38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21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56.xml" ContentType="application/vnd.openxmlformats-officedocument.drawingml.chart+xml"/>
  <Override PartName="/xl/drawings/drawing8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55.xml" ContentType="application/vnd.openxmlformats-officedocument.drawingml.chart+xml"/>
  <Override PartName="/xl/charts/chart54.xml" ContentType="application/vnd.openxmlformats-officedocument.drawingml.chart+xml"/>
  <Override PartName="/xl/charts/chart53.xml" ContentType="application/vnd.openxmlformats-officedocument.drawingml.chart+xml"/>
  <Override PartName="/xl/drawings/drawing7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5.xml" ContentType="application/vnd.openxmlformats-officedocument.drawing+xml"/>
  <Override PartName="/xl/charts/chart35.xml" ContentType="application/vnd.openxmlformats-officedocument.drawingml.chart+xml"/>
  <Override PartName="/xl/theme/themeOverride12.xml" ContentType="application/vnd.openxmlformats-officedocument.themeOverride+xml"/>
  <Override PartName="/xl/drawings/drawing4.xml" ContentType="application/vnd.openxmlformats-officedocument.drawing+xml"/>
  <Override PartName="/xl/charts/chart26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theme/themeOverride13.xml" ContentType="application/vnd.openxmlformats-officedocument.themeOverride+xml"/>
  <Override PartName="/xl/theme/themeOverride11.xml" ContentType="application/vnd.openxmlformats-officedocument.themeOverride+xml"/>
  <Override PartName="/xl/charts/chart24.xml" ContentType="application/vnd.openxmlformats-officedocument.drawingml.chart+xml"/>
  <Override PartName="/xl/charts/chart27.xml" ContentType="application/vnd.openxmlformats-officedocument.drawingml.chart+xml"/>
  <Override PartName="/xl/theme/themeOverride14.xml" ContentType="application/vnd.openxmlformats-officedocument.themeOverride+xml"/>
  <Override PartName="/xl/charts/chart28.xml" ContentType="application/vnd.openxmlformats-officedocument.drawingml.chart+xml"/>
  <Override PartName="/xl/theme/themeOverride16.xml" ContentType="application/vnd.openxmlformats-officedocument.themeOverride+xml"/>
  <Override PartName="/xl/charts/chart32.xml" ContentType="application/vnd.openxmlformats-officedocument.drawingml.chart+xml"/>
  <Override PartName="/xl/charts/chart25.xml" ContentType="application/vnd.openxmlformats-officedocument.drawingml.chart+xml"/>
  <Override PartName="/xl/theme/themeOverride15.xml" ContentType="application/vnd.openxmlformats-officedocument.themeOverride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29.xml" ContentType="application/vnd.openxmlformats-officedocument.drawingml.chart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240" yWindow="135" windowWidth="10380" windowHeight="6240" tabRatio="936"/>
  </bookViews>
  <sheets>
    <sheet name="2013 Q4 Combined" sheetId="48087" r:id="rId1"/>
    <sheet name="2013 Q3 Combined" sheetId="48086" r:id="rId2"/>
    <sheet name="2013 Q2 Combined" sheetId="48085" r:id="rId3"/>
    <sheet name="2013 Q1 Combined" sheetId="48083" r:id="rId4"/>
    <sheet name="2012 Q4 Combined" sheetId="48082" r:id="rId5"/>
    <sheet name="2012 Q3 Combined" sheetId="48081" r:id="rId6"/>
    <sheet name="2012 Q2 Combined" sheetId="48080" r:id="rId7"/>
    <sheet name="2012 Q1 Combined" sheetId="48079" r:id="rId8"/>
    <sheet name="2011 Q4 Combined " sheetId="48078" r:id="rId9"/>
    <sheet name="2011 Q3 Combined" sheetId="48077" r:id="rId10"/>
    <sheet name="2011 Q2 Combined" sheetId="48076" r:id="rId11"/>
    <sheet name="2011 Q1 Combined" sheetId="48042" r:id="rId12"/>
    <sheet name="2010 Q2 Combined" sheetId="48065" r:id="rId13"/>
    <sheet name="2010 Q3 Combined " sheetId="48068" r:id="rId14"/>
    <sheet name="2010 Q4 Combined" sheetId="48075" r:id="rId15"/>
    <sheet name="FY2010 Rev as of 10-15-10" sheetId="48072" r:id="rId16"/>
    <sheet name="FY2010 Exp as of 10-15-10" sheetId="48073" r:id="rId17"/>
    <sheet name="FY2010 Rev as of 7-15-10" sheetId="48069" r:id="rId18"/>
    <sheet name="FY2010 Exp as of 7-15-10" sheetId="48070" r:id="rId19"/>
    <sheet name="FY2010 Rev as of 04-15-10" sheetId="48063" r:id="rId20"/>
    <sheet name="FY2010 Exp as of 4-15-10" sheetId="48064" r:id="rId21"/>
    <sheet name="FY 2010 Rev as of 01-15-10" sheetId="48058" r:id="rId22"/>
    <sheet name="FY 2010 Exp as of 01-15-10" sheetId="48059" r:id="rId23"/>
    <sheet name="FY 2009 Rev 01-15-10" sheetId="48057" r:id="rId24"/>
    <sheet name="FY 2009 Exp 01-15-10" sheetId="48061" r:id="rId25"/>
    <sheet name="FY 2008 Rev 01-15-10" sheetId="48060" r:id="rId26"/>
    <sheet name="FY 2008 Exp 01-15-10" sheetId="48062" r:id="rId27"/>
  </sheets>
  <definedNames>
    <definedName name="account" localSheetId="2">#REF!</definedName>
    <definedName name="account" localSheetId="1">#REF!</definedName>
    <definedName name="account" localSheetId="0">#REF!</definedName>
    <definedName name="account">#REF!</definedName>
    <definedName name="budget" localSheetId="2">#REF!</definedName>
    <definedName name="budget" localSheetId="1">#REF!</definedName>
    <definedName name="budget" localSheetId="0">#REF!</definedName>
    <definedName name="budget">#REF!</definedName>
    <definedName name="Fundnames" localSheetId="2">#REF!</definedName>
    <definedName name="Fundnames" localSheetId="1">#REF!</definedName>
    <definedName name="Fundnames" localSheetId="0">#REF!</definedName>
    <definedName name="Fundnames">#REF!</definedName>
    <definedName name="_xlnm.Print_Area" localSheetId="14">'2010 Q4 Combined'!$A$1:$F$149</definedName>
    <definedName name="_xlnm.Print_Area" localSheetId="11">'2011 Q1 Combined'!$A$1:$F$139</definedName>
    <definedName name="_xlnm.Print_Area" localSheetId="10">'2011 Q2 Combined'!$A$1:$F$139</definedName>
    <definedName name="_xlnm.Print_Area" localSheetId="9">'2011 Q3 Combined'!$A$1:$F$139</definedName>
    <definedName name="_xlnm.Print_Area" localSheetId="8">'2011 Q4 Combined '!$A$1:$F$139</definedName>
    <definedName name="_xlnm.Print_Area" localSheetId="7">'2012 Q1 Combined'!$A$1:$F$139</definedName>
    <definedName name="_xlnm.Print_Area" localSheetId="6">'2012 Q2 Combined'!$A$1:$F$139</definedName>
    <definedName name="_xlnm.Print_Area" localSheetId="5">'2012 Q3 Combined'!$A$1:$F$139</definedName>
    <definedName name="_xlnm.Print_Area" localSheetId="4">'2012 Q4 Combined'!$A$1:$F$139</definedName>
    <definedName name="_xlnm.Print_Area" localSheetId="3">'2013 Q1 Combined'!$A$1:$F$137</definedName>
    <definedName name="_xlnm.Print_Area" localSheetId="2">'2013 Q2 Combined'!$A$1:$F$137</definedName>
    <definedName name="_xlnm.Print_Area" localSheetId="1">'2013 Q3 Combined'!$A$1:$F$137</definedName>
    <definedName name="_xlnm.Print_Area" localSheetId="0">'2013 Q4 Combined'!$A$1:$F$137</definedName>
    <definedName name="_xlnm.Print_Area" localSheetId="21">'FY 2010 Rev as of 01-15-10'!$A$1:$D$34</definedName>
    <definedName name="_xlnm.Print_Area">#REF!</definedName>
    <definedName name="_xlnm.Print_Titles" localSheetId="26">'FY 2008 Exp 01-15-10'!$1:$1</definedName>
    <definedName name="_xlnm.Print_Titles" localSheetId="25">'FY 2008 Rev 01-15-10'!$1:$1</definedName>
    <definedName name="_xlnm.Print_Titles" localSheetId="24">'FY 2009 Exp 01-15-10'!$1:$1</definedName>
    <definedName name="_xlnm.Print_Titles" localSheetId="23">'FY 2009 Rev 01-15-10'!$1:$1</definedName>
    <definedName name="_xlnm.Print_Titles" localSheetId="22">'FY 2010 Exp as of 01-15-10'!$1:$1</definedName>
    <definedName name="_xlnm.Print_Titles" localSheetId="21">'FY 2010 Rev as of 01-15-10'!$A:$B,'FY 2010 Rev as of 01-15-10'!$1:$2</definedName>
  </definedNames>
  <calcPr calcId="145621" calcMode="autoNoTable" iterate="1" iterateCount="1" iterateDelta="0"/>
</workbook>
</file>

<file path=xl/calcChain.xml><?xml version="1.0" encoding="utf-8"?>
<calcChain xmlns="http://schemas.openxmlformats.org/spreadsheetml/2006/main">
  <c r="H60" i="48087" l="1"/>
  <c r="H59" i="48087"/>
  <c r="H58" i="48087"/>
  <c r="H57" i="48087"/>
  <c r="H56" i="48087"/>
  <c r="H55" i="48087"/>
  <c r="H54" i="48087"/>
  <c r="H53" i="48087"/>
  <c r="H52" i="48087"/>
  <c r="H50" i="48087"/>
  <c r="G62" i="48087"/>
  <c r="G61" i="48087"/>
  <c r="G60" i="48087"/>
  <c r="G59" i="48087"/>
  <c r="G58" i="48087"/>
  <c r="G57" i="48087"/>
  <c r="G56" i="48087"/>
  <c r="G55" i="48087"/>
  <c r="G54" i="48087"/>
  <c r="G53" i="48087"/>
  <c r="G52" i="48087"/>
  <c r="G51" i="48087"/>
  <c r="G50" i="48087"/>
  <c r="O62" i="48087"/>
  <c r="S62" i="48087"/>
  <c r="W62" i="48087"/>
  <c r="AA62" i="48087"/>
  <c r="H22" i="48087"/>
  <c r="G49" i="48087"/>
  <c r="O24" i="48087"/>
  <c r="Z24" i="48087"/>
  <c r="V24" i="48087"/>
  <c r="R24" i="48087"/>
  <c r="G24" i="48087"/>
  <c r="G23" i="48087"/>
  <c r="G22" i="48087"/>
  <c r="G21" i="48087"/>
  <c r="G20" i="48087"/>
  <c r="G19" i="48087"/>
  <c r="G18" i="48087"/>
  <c r="G17" i="48087"/>
  <c r="L62" i="48087"/>
  <c r="K62" i="48087"/>
  <c r="M61" i="48087"/>
  <c r="D61" i="48087"/>
  <c r="C61" i="48087"/>
  <c r="E61" i="48087" s="1"/>
  <c r="M60" i="48087"/>
  <c r="D60" i="48087"/>
  <c r="C60" i="48087"/>
  <c r="M59" i="48087"/>
  <c r="D59" i="48087"/>
  <c r="E59" i="48087" s="1"/>
  <c r="C59" i="48087"/>
  <c r="M58" i="48087"/>
  <c r="D58" i="48087"/>
  <c r="E58" i="48087" s="1"/>
  <c r="C58" i="48087"/>
  <c r="F58" i="48087" s="1"/>
  <c r="M57" i="48087"/>
  <c r="D57" i="48087"/>
  <c r="C57" i="48087"/>
  <c r="E57" i="48087" s="1"/>
  <c r="M56" i="48087"/>
  <c r="D56" i="48087"/>
  <c r="C56" i="48087"/>
  <c r="F56" i="48087" s="1"/>
  <c r="M55" i="48087"/>
  <c r="D55" i="48087"/>
  <c r="E55" i="48087" s="1"/>
  <c r="C55" i="48087"/>
  <c r="M54" i="48087"/>
  <c r="D54" i="48087"/>
  <c r="E54" i="48087" s="1"/>
  <c r="C54" i="48087"/>
  <c r="M53" i="48087"/>
  <c r="D53" i="48087"/>
  <c r="C53" i="48087"/>
  <c r="E53" i="48087" s="1"/>
  <c r="M52" i="48087"/>
  <c r="D52" i="48087"/>
  <c r="C52" i="48087"/>
  <c r="F52" i="48087" s="1"/>
  <c r="M51" i="48087"/>
  <c r="D51" i="48087"/>
  <c r="C51" i="48087"/>
  <c r="M50" i="48087"/>
  <c r="D50" i="48087"/>
  <c r="E50" i="48087" s="1"/>
  <c r="C50" i="48087"/>
  <c r="F50" i="48087" s="1"/>
  <c r="M49" i="48087"/>
  <c r="D49" i="48087"/>
  <c r="C49" i="48087"/>
  <c r="C62" i="48087" s="1"/>
  <c r="M23" i="48087"/>
  <c r="L23" i="48087"/>
  <c r="K23" i="48087"/>
  <c r="K24" i="48087" s="1"/>
  <c r="J23" i="48087"/>
  <c r="D23" i="48087"/>
  <c r="C23" i="48087"/>
  <c r="C24" i="48087" s="1"/>
  <c r="M22" i="48087"/>
  <c r="L22" i="48087"/>
  <c r="J22" i="48087"/>
  <c r="D22" i="48087"/>
  <c r="E22" i="48087" s="1"/>
  <c r="C22" i="48087"/>
  <c r="M21" i="48087"/>
  <c r="J21" i="48087"/>
  <c r="D21" i="48087"/>
  <c r="E21" i="48087" s="1"/>
  <c r="C21" i="48087"/>
  <c r="L20" i="48087"/>
  <c r="D20" i="48087" s="1"/>
  <c r="J20" i="48087"/>
  <c r="C20" i="48087"/>
  <c r="L19" i="48087"/>
  <c r="D19" i="48087" s="1"/>
  <c r="J19" i="48087"/>
  <c r="C19" i="48087"/>
  <c r="L18" i="48087"/>
  <c r="L24" i="48087" s="1"/>
  <c r="J18" i="48087"/>
  <c r="C18" i="48087"/>
  <c r="M17" i="48087"/>
  <c r="J17" i="48087"/>
  <c r="D17" i="48087"/>
  <c r="C17" i="48087"/>
  <c r="F51" i="48087" l="1"/>
  <c r="E60" i="48087"/>
  <c r="F60" i="48087"/>
  <c r="F59" i="48087"/>
  <c r="F55" i="48087"/>
  <c r="E56" i="48087"/>
  <c r="M62" i="48087"/>
  <c r="D62" i="48087"/>
  <c r="E52" i="48087"/>
  <c r="F19" i="48087"/>
  <c r="E19" i="48087"/>
  <c r="M24" i="48087"/>
  <c r="H20" i="48087"/>
  <c r="F20" i="48087"/>
  <c r="E20" i="48087"/>
  <c r="F23" i="48087"/>
  <c r="F54" i="48087"/>
  <c r="E17" i="48087"/>
  <c r="M19" i="48087"/>
  <c r="F49" i="48087"/>
  <c r="E51" i="48087"/>
  <c r="F53" i="48087"/>
  <c r="F57" i="48087"/>
  <c r="F61" i="48087"/>
  <c r="F17" i="48087"/>
  <c r="M20" i="48087"/>
  <c r="F21" i="48087"/>
  <c r="F22" i="48087"/>
  <c r="E23" i="48087"/>
  <c r="H49" i="48087"/>
  <c r="M18" i="48087"/>
  <c r="D18" i="48087"/>
  <c r="E49" i="48087"/>
  <c r="G50" i="48086"/>
  <c r="G51" i="48086"/>
  <c r="G52" i="48086"/>
  <c r="G53" i="48086"/>
  <c r="G54" i="48086"/>
  <c r="G55" i="48086"/>
  <c r="G56" i="48086"/>
  <c r="G57" i="48086"/>
  <c r="G58" i="48086"/>
  <c r="G59" i="48086"/>
  <c r="G60" i="48086"/>
  <c r="G61" i="48086"/>
  <c r="G62" i="48086"/>
  <c r="G49" i="48086"/>
  <c r="D23" i="48086"/>
  <c r="G24" i="48086"/>
  <c r="G18" i="48086"/>
  <c r="G19" i="48086"/>
  <c r="G20" i="48086"/>
  <c r="G21" i="48086"/>
  <c r="G22" i="48086"/>
  <c r="G23" i="48086"/>
  <c r="G17" i="48086"/>
  <c r="L62" i="48086"/>
  <c r="M62" i="48086" s="1"/>
  <c r="K62" i="48086"/>
  <c r="M61" i="48086"/>
  <c r="D61" i="48086"/>
  <c r="E61" i="48086" s="1"/>
  <c r="C61" i="48086"/>
  <c r="M60" i="48086"/>
  <c r="D60" i="48086"/>
  <c r="H60" i="48086" s="1"/>
  <c r="C60" i="48086"/>
  <c r="M59" i="48086"/>
  <c r="D59" i="48086"/>
  <c r="H59" i="48086" s="1"/>
  <c r="C59" i="48086"/>
  <c r="M58" i="48086"/>
  <c r="D58" i="48086"/>
  <c r="C58" i="48086"/>
  <c r="E58" i="48086" s="1"/>
  <c r="M57" i="48086"/>
  <c r="D57" i="48086"/>
  <c r="E57" i="48086" s="1"/>
  <c r="C57" i="48086"/>
  <c r="H57" i="48086" s="1"/>
  <c r="M56" i="48086"/>
  <c r="D56" i="48086"/>
  <c r="H56" i="48086" s="1"/>
  <c r="C56" i="48086"/>
  <c r="M55" i="48086"/>
  <c r="D55" i="48086"/>
  <c r="H55" i="48086" s="1"/>
  <c r="C55" i="48086"/>
  <c r="F55" i="48086" s="1"/>
  <c r="M54" i="48086"/>
  <c r="D54" i="48086"/>
  <c r="C54" i="48086"/>
  <c r="M53" i="48086"/>
  <c r="D53" i="48086"/>
  <c r="E53" i="48086" s="1"/>
  <c r="C53" i="48086"/>
  <c r="H53" i="48086" s="1"/>
  <c r="M52" i="48086"/>
  <c r="D52" i="48086"/>
  <c r="H52" i="48086" s="1"/>
  <c r="C52" i="48086"/>
  <c r="M51" i="48086"/>
  <c r="D51" i="48086"/>
  <c r="H51" i="48086" s="1"/>
  <c r="C51" i="48086"/>
  <c r="M50" i="48086"/>
  <c r="D50" i="48086"/>
  <c r="C50" i="48086"/>
  <c r="M49" i="48086"/>
  <c r="D49" i="48086"/>
  <c r="C49" i="48086"/>
  <c r="C62" i="48086" s="1"/>
  <c r="K23" i="48086"/>
  <c r="M23" i="48086" s="1"/>
  <c r="J23" i="48086"/>
  <c r="D22" i="48086"/>
  <c r="J22" i="48086"/>
  <c r="C22" i="48086"/>
  <c r="M21" i="48086"/>
  <c r="J21" i="48086"/>
  <c r="D21" i="48086"/>
  <c r="H21" i="48086" s="1"/>
  <c r="C21" i="48086"/>
  <c r="D20" i="48086"/>
  <c r="J20" i="48086"/>
  <c r="C20" i="48086"/>
  <c r="M19" i="48086"/>
  <c r="J19" i="48086"/>
  <c r="D19" i="48086"/>
  <c r="C19" i="48086"/>
  <c r="M18" i="48086"/>
  <c r="L24" i="48086"/>
  <c r="J18" i="48086"/>
  <c r="D18" i="48086"/>
  <c r="C18" i="48086"/>
  <c r="M17" i="48086"/>
  <c r="J17" i="48086"/>
  <c r="D17" i="48086"/>
  <c r="C17" i="48086"/>
  <c r="F62" i="48087" l="1"/>
  <c r="E62" i="48087"/>
  <c r="E18" i="48087"/>
  <c r="F18" i="48087"/>
  <c r="F24" i="48087" s="1"/>
  <c r="D24" i="48087"/>
  <c r="E24" i="48087" s="1"/>
  <c r="E21" i="48086"/>
  <c r="F60" i="48086"/>
  <c r="E59" i="48086"/>
  <c r="F59" i="48086"/>
  <c r="F56" i="48086"/>
  <c r="E55" i="48086"/>
  <c r="E54" i="48086"/>
  <c r="F52" i="48086"/>
  <c r="D62" i="48086"/>
  <c r="F62" i="48086" s="1"/>
  <c r="F51" i="48086"/>
  <c r="E51" i="48086"/>
  <c r="E50" i="48086"/>
  <c r="F21" i="48086"/>
  <c r="E20" i="48086"/>
  <c r="F20" i="48086"/>
  <c r="H22" i="48086"/>
  <c r="F22" i="48086"/>
  <c r="E22" i="48086"/>
  <c r="D24" i="48086"/>
  <c r="F18" i="48086"/>
  <c r="M24" i="48086"/>
  <c r="F19" i="48086"/>
  <c r="F49" i="48086"/>
  <c r="F53" i="48086"/>
  <c r="F57" i="48086"/>
  <c r="F61" i="48086"/>
  <c r="E17" i="48086"/>
  <c r="E18" i="48086"/>
  <c r="M20" i="48086"/>
  <c r="K24" i="48086"/>
  <c r="H49" i="48086"/>
  <c r="F50" i="48086"/>
  <c r="E52" i="48086"/>
  <c r="F54" i="48086"/>
  <c r="E56" i="48086"/>
  <c r="F58" i="48086"/>
  <c r="E60" i="48086"/>
  <c r="F17" i="48086"/>
  <c r="E19" i="48086"/>
  <c r="H20" i="48086"/>
  <c r="M22" i="48086"/>
  <c r="E49" i="48086"/>
  <c r="H50" i="48086"/>
  <c r="H54" i="48086"/>
  <c r="H58" i="48086"/>
  <c r="C23" i="48086"/>
  <c r="F23" i="48086" s="1"/>
  <c r="H62" i="48085"/>
  <c r="X62" i="48085"/>
  <c r="W62" i="48085"/>
  <c r="V62" i="48085"/>
  <c r="U62" i="48085"/>
  <c r="T62" i="48085"/>
  <c r="S62" i="48085"/>
  <c r="R62" i="48085"/>
  <c r="Y61" i="48085"/>
  <c r="X61" i="48085"/>
  <c r="U61" i="48085"/>
  <c r="T61" i="48085"/>
  <c r="Y60" i="48085"/>
  <c r="X60" i="48085"/>
  <c r="U60" i="48085"/>
  <c r="T60" i="48085"/>
  <c r="Y59" i="48085"/>
  <c r="X59" i="48085"/>
  <c r="U59" i="48085"/>
  <c r="T59" i="48085"/>
  <c r="Y58" i="48085"/>
  <c r="X58" i="48085"/>
  <c r="U58" i="48085"/>
  <c r="T58" i="48085"/>
  <c r="Y57" i="48085"/>
  <c r="X57" i="48085"/>
  <c r="U57" i="48085"/>
  <c r="T57" i="48085"/>
  <c r="Y56" i="48085"/>
  <c r="X56" i="48085"/>
  <c r="U56" i="48085"/>
  <c r="T56" i="48085"/>
  <c r="Y55" i="48085"/>
  <c r="X55" i="48085"/>
  <c r="U55" i="48085"/>
  <c r="T55" i="48085"/>
  <c r="Y54" i="48085"/>
  <c r="X54" i="48085"/>
  <c r="U54" i="48085"/>
  <c r="T54" i="48085"/>
  <c r="Y53" i="48085"/>
  <c r="X53" i="48085"/>
  <c r="U53" i="48085"/>
  <c r="T53" i="48085"/>
  <c r="Y52" i="48085"/>
  <c r="X52" i="48085"/>
  <c r="U52" i="48085"/>
  <c r="T52" i="48085"/>
  <c r="Y51" i="48085"/>
  <c r="X51" i="48085"/>
  <c r="U51" i="48085"/>
  <c r="T51" i="48085"/>
  <c r="Y50" i="48085"/>
  <c r="X50" i="48085"/>
  <c r="U50" i="48085"/>
  <c r="T50" i="48085"/>
  <c r="Y49" i="48085"/>
  <c r="Y62" i="48085" s="1"/>
  <c r="X49" i="48085"/>
  <c r="U49" i="48085"/>
  <c r="T49" i="48085"/>
  <c r="Q61" i="48085"/>
  <c r="P61" i="48085"/>
  <c r="Q60" i="48085"/>
  <c r="P60" i="48085"/>
  <c r="Q59" i="48085"/>
  <c r="P59" i="48085"/>
  <c r="Q58" i="48085"/>
  <c r="P58" i="48085"/>
  <c r="Q57" i="48085"/>
  <c r="P57" i="48085"/>
  <c r="Q56" i="48085"/>
  <c r="P56" i="48085"/>
  <c r="Q55" i="48085"/>
  <c r="P55" i="48085"/>
  <c r="Q54" i="48085"/>
  <c r="P54" i="48085"/>
  <c r="Q53" i="48085"/>
  <c r="P53" i="48085"/>
  <c r="Q52" i="48085"/>
  <c r="P52" i="48085"/>
  <c r="Q51" i="48085"/>
  <c r="P51" i="48085"/>
  <c r="Q50" i="48085"/>
  <c r="P50" i="48085"/>
  <c r="Q49" i="48085"/>
  <c r="Q62" i="48085" s="1"/>
  <c r="P49" i="48085"/>
  <c r="O62" i="48085"/>
  <c r="N62" i="48085"/>
  <c r="J23" i="48085"/>
  <c r="L23" i="48085"/>
  <c r="L22" i="48085"/>
  <c r="D22" i="48085" s="1"/>
  <c r="L20" i="48085"/>
  <c r="M20" i="48085" s="1"/>
  <c r="L19" i="48085"/>
  <c r="D19" i="48085" s="1"/>
  <c r="L18" i="48085"/>
  <c r="G23" i="48085"/>
  <c r="L62" i="48085"/>
  <c r="K62" i="48085"/>
  <c r="M61" i="48085"/>
  <c r="D61" i="48085"/>
  <c r="C61" i="48085"/>
  <c r="G61" i="48085" s="1"/>
  <c r="M60" i="48085"/>
  <c r="D60" i="48085"/>
  <c r="C60" i="48085"/>
  <c r="G60" i="48085" s="1"/>
  <c r="M59" i="48085"/>
  <c r="D59" i="48085"/>
  <c r="C59" i="48085"/>
  <c r="M58" i="48085"/>
  <c r="D58" i="48085"/>
  <c r="C58" i="48085"/>
  <c r="G58" i="48085" s="1"/>
  <c r="M57" i="48085"/>
  <c r="D57" i="48085"/>
  <c r="C57" i="48085"/>
  <c r="M56" i="48085"/>
  <c r="D56" i="48085"/>
  <c r="C56" i="48085"/>
  <c r="G56" i="48085" s="1"/>
  <c r="M55" i="48085"/>
  <c r="D55" i="48085"/>
  <c r="C55" i="48085"/>
  <c r="G55" i="48085" s="1"/>
  <c r="M54" i="48085"/>
  <c r="D54" i="48085"/>
  <c r="C54" i="48085"/>
  <c r="G54" i="48085" s="1"/>
  <c r="M53" i="48085"/>
  <c r="D53" i="48085"/>
  <c r="C53" i="48085"/>
  <c r="M52" i="48085"/>
  <c r="D52" i="48085"/>
  <c r="C52" i="48085"/>
  <c r="G52" i="48085" s="1"/>
  <c r="M51" i="48085"/>
  <c r="D51" i="48085"/>
  <c r="C51" i="48085"/>
  <c r="G51" i="48085" s="1"/>
  <c r="M50" i="48085"/>
  <c r="D50" i="48085"/>
  <c r="H50" i="48085" s="1"/>
  <c r="C50" i="48085"/>
  <c r="G50" i="48085" s="1"/>
  <c r="M49" i="48085"/>
  <c r="D49" i="48085"/>
  <c r="C49" i="48085"/>
  <c r="G49" i="48085" s="1"/>
  <c r="D23" i="48085"/>
  <c r="K23" i="48085"/>
  <c r="C23" i="48085" s="1"/>
  <c r="M22" i="48085"/>
  <c r="J22" i="48085"/>
  <c r="C22" i="48085"/>
  <c r="G22" i="48085" s="1"/>
  <c r="M21" i="48085"/>
  <c r="J21" i="48085"/>
  <c r="D21" i="48085"/>
  <c r="C21" i="48085"/>
  <c r="J20" i="48085"/>
  <c r="C20" i="48085"/>
  <c r="G20" i="48085" s="1"/>
  <c r="M19" i="48085"/>
  <c r="J19" i="48085"/>
  <c r="C19" i="48085"/>
  <c r="G19" i="48085" s="1"/>
  <c r="J18" i="48085"/>
  <c r="C18" i="48085"/>
  <c r="G18" i="48085" s="1"/>
  <c r="M17" i="48085"/>
  <c r="J17" i="48085"/>
  <c r="D17" i="48085"/>
  <c r="C17" i="48085"/>
  <c r="G17" i="48085" s="1"/>
  <c r="E62" i="48086" l="1"/>
  <c r="E23" i="48086"/>
  <c r="F24" i="48086"/>
  <c r="C24" i="48086"/>
  <c r="H62" i="48086"/>
  <c r="E24" i="48086"/>
  <c r="E57" i="48085"/>
  <c r="E61" i="48085"/>
  <c r="K24" i="48085"/>
  <c r="E52" i="48085"/>
  <c r="H59" i="48085"/>
  <c r="E60" i="48085"/>
  <c r="F22" i="48085"/>
  <c r="G59" i="48085"/>
  <c r="F59" i="48085" s="1"/>
  <c r="G21" i="48085"/>
  <c r="F21" i="48085" s="1"/>
  <c r="E49" i="48085"/>
  <c r="H58" i="48085"/>
  <c r="G53" i="48085"/>
  <c r="F53" i="48085" s="1"/>
  <c r="G57" i="48085"/>
  <c r="F57" i="48085" s="1"/>
  <c r="P62" i="48085"/>
  <c r="H60" i="48085"/>
  <c r="F58" i="48085"/>
  <c r="H55" i="48085"/>
  <c r="H54" i="48085"/>
  <c r="H52" i="48085"/>
  <c r="F50" i="48085"/>
  <c r="F49" i="48085"/>
  <c r="H22" i="48085"/>
  <c r="H19" i="48085"/>
  <c r="F19" i="48085"/>
  <c r="E51" i="48085"/>
  <c r="E53" i="48085"/>
  <c r="E54" i="48085"/>
  <c r="H61" i="48085"/>
  <c r="D20" i="48085"/>
  <c r="E20" i="48085" s="1"/>
  <c r="H49" i="48085"/>
  <c r="C24" i="48085"/>
  <c r="G24" i="48085" s="1"/>
  <c r="H53" i="48085"/>
  <c r="F55" i="48085"/>
  <c r="H57" i="48085"/>
  <c r="F61" i="48085"/>
  <c r="F23" i="48085"/>
  <c r="E23" i="48085"/>
  <c r="H56" i="48085"/>
  <c r="E56" i="48085"/>
  <c r="H17" i="48085"/>
  <c r="F17" i="48085"/>
  <c r="M18" i="48085"/>
  <c r="D18" i="48085"/>
  <c r="L24" i="48085"/>
  <c r="M23" i="48085"/>
  <c r="F51" i="48085"/>
  <c r="E17" i="48085"/>
  <c r="D62" i="48085"/>
  <c r="C62" i="48085"/>
  <c r="G62" i="48085" s="1"/>
  <c r="F56" i="48085"/>
  <c r="H21" i="48085"/>
  <c r="E21" i="48085"/>
  <c r="E50" i="48085"/>
  <c r="H51" i="48085"/>
  <c r="F52" i="48085"/>
  <c r="F54" i="48085"/>
  <c r="E55" i="48085"/>
  <c r="M62" i="48085"/>
  <c r="E19" i="48085"/>
  <c r="E22" i="48085"/>
  <c r="E58" i="48085"/>
  <c r="E59" i="48085"/>
  <c r="F60" i="48085"/>
  <c r="D61" i="48083"/>
  <c r="C61" i="48083"/>
  <c r="D60" i="48083"/>
  <c r="C60" i="48083"/>
  <c r="D59" i="48083"/>
  <c r="C59" i="48083"/>
  <c r="D58" i="48083"/>
  <c r="C58" i="48083"/>
  <c r="D57" i="48083"/>
  <c r="C57" i="48083"/>
  <c r="D56" i="48083"/>
  <c r="C56" i="48083"/>
  <c r="D55" i="48083"/>
  <c r="C55" i="48083"/>
  <c r="D54" i="48083"/>
  <c r="C54" i="48083"/>
  <c r="D53" i="48083"/>
  <c r="C53" i="48083"/>
  <c r="D52" i="48083"/>
  <c r="C52" i="48083"/>
  <c r="D51" i="48083"/>
  <c r="C51" i="48083"/>
  <c r="D50" i="48083"/>
  <c r="C50" i="48083"/>
  <c r="D49" i="48083"/>
  <c r="M24" i="48085" l="1"/>
  <c r="F62" i="48085"/>
  <c r="D24" i="48085"/>
  <c r="E24" i="48085" s="1"/>
  <c r="H20" i="48085"/>
  <c r="F20" i="48085"/>
  <c r="E62" i="48085"/>
  <c r="H18" i="48085"/>
  <c r="F18" i="48085"/>
  <c r="F24" i="48085" s="1"/>
  <c r="E18" i="48085"/>
  <c r="C49" i="48083"/>
  <c r="D21" i="48083"/>
  <c r="D17" i="48083"/>
  <c r="C22" i="48083"/>
  <c r="C21" i="48083"/>
  <c r="C20" i="48083"/>
  <c r="C19" i="48083"/>
  <c r="C18" i="48083"/>
  <c r="C17" i="48083"/>
  <c r="L23" i="48083" l="1"/>
  <c r="L22" i="48083"/>
  <c r="D22" i="48083" s="1"/>
  <c r="L20" i="48083"/>
  <c r="D20" i="48083" s="1"/>
  <c r="E20" i="48083" s="1"/>
  <c r="L19" i="48083"/>
  <c r="D19" i="48083" s="1"/>
  <c r="L18" i="48083"/>
  <c r="D18" i="48083" s="1"/>
  <c r="K23" i="48083"/>
  <c r="C23" i="48083" s="1"/>
  <c r="H61" i="48083"/>
  <c r="L62" i="48083"/>
  <c r="K62" i="48083"/>
  <c r="M61" i="48083"/>
  <c r="M60" i="48083"/>
  <c r="M59" i="48083"/>
  <c r="M58" i="48083"/>
  <c r="M57" i="48083"/>
  <c r="M56" i="48083"/>
  <c r="M55" i="48083"/>
  <c r="M54" i="48083"/>
  <c r="M53" i="48083"/>
  <c r="M52" i="48083"/>
  <c r="M51" i="48083"/>
  <c r="M50" i="48083"/>
  <c r="M49" i="48083"/>
  <c r="M21" i="48083"/>
  <c r="M19" i="48083"/>
  <c r="M18" i="48083"/>
  <c r="M17" i="48083"/>
  <c r="W62" i="48083"/>
  <c r="X62" i="48083" s="1"/>
  <c r="V62" i="48083"/>
  <c r="S62" i="48083"/>
  <c r="T62" i="48083" s="1"/>
  <c r="R62" i="48083"/>
  <c r="O62" i="48083"/>
  <c r="P62" i="48083" s="1"/>
  <c r="N62" i="48083"/>
  <c r="C62" i="48083"/>
  <c r="G62" i="48083" s="1"/>
  <c r="AI61" i="48083"/>
  <c r="AG61" i="48083"/>
  <c r="AF61" i="48083"/>
  <c r="AC61" i="48083"/>
  <c r="AA61" i="48083"/>
  <c r="Z61" i="48083"/>
  <c r="AE61" i="48083" s="1"/>
  <c r="Y61" i="48083"/>
  <c r="X61" i="48083"/>
  <c r="U61" i="48083"/>
  <c r="T61" i="48083"/>
  <c r="Q61" i="48083"/>
  <c r="P61" i="48083"/>
  <c r="E61" i="48083"/>
  <c r="G61" i="48083"/>
  <c r="F61" i="48083" s="1"/>
  <c r="AI60" i="48083"/>
  <c r="AG60" i="48083"/>
  <c r="AF60" i="48083"/>
  <c r="AC60" i="48083"/>
  <c r="AA60" i="48083"/>
  <c r="Z60" i="48083"/>
  <c r="Y60" i="48083"/>
  <c r="X60" i="48083"/>
  <c r="U60" i="48083"/>
  <c r="T60" i="48083"/>
  <c r="Q60" i="48083"/>
  <c r="P60" i="48083"/>
  <c r="E60" i="48083"/>
  <c r="H60" i="48083"/>
  <c r="AI59" i="48083"/>
  <c r="AG59" i="48083"/>
  <c r="AF59" i="48083"/>
  <c r="AC59" i="48083"/>
  <c r="AA59" i="48083"/>
  <c r="Z59" i="48083"/>
  <c r="Y59" i="48083"/>
  <c r="X59" i="48083"/>
  <c r="U59" i="48083"/>
  <c r="T59" i="48083"/>
  <c r="Q59" i="48083"/>
  <c r="P59" i="48083"/>
  <c r="E59" i="48083"/>
  <c r="H59" i="48083"/>
  <c r="AI58" i="48083"/>
  <c r="AG58" i="48083"/>
  <c r="AF58" i="48083"/>
  <c r="AC58" i="48083"/>
  <c r="AA58" i="48083"/>
  <c r="Z58" i="48083"/>
  <c r="Y58" i="48083"/>
  <c r="X58" i="48083"/>
  <c r="U58" i="48083"/>
  <c r="T58" i="48083"/>
  <c r="Q58" i="48083"/>
  <c r="P58" i="48083"/>
  <c r="E58" i="48083"/>
  <c r="H58" i="48083"/>
  <c r="AI57" i="48083"/>
  <c r="AG57" i="48083"/>
  <c r="AF57" i="48083"/>
  <c r="AC57" i="48083"/>
  <c r="AA57" i="48083"/>
  <c r="Z57" i="48083"/>
  <c r="Y57" i="48083"/>
  <c r="X57" i="48083"/>
  <c r="U57" i="48083"/>
  <c r="T57" i="48083"/>
  <c r="Q57" i="48083"/>
  <c r="P57" i="48083"/>
  <c r="E57" i="48083"/>
  <c r="H57" i="48083"/>
  <c r="AI56" i="48083"/>
  <c r="AG56" i="48083"/>
  <c r="AF56" i="48083"/>
  <c r="AC56" i="48083"/>
  <c r="AA56" i="48083"/>
  <c r="Z56" i="48083"/>
  <c r="Y56" i="48083"/>
  <c r="X56" i="48083"/>
  <c r="U56" i="48083"/>
  <c r="T56" i="48083"/>
  <c r="Q56" i="48083"/>
  <c r="P56" i="48083"/>
  <c r="E56" i="48083"/>
  <c r="H56" i="48083"/>
  <c r="G56" i="48083"/>
  <c r="F56" i="48083" s="1"/>
  <c r="AI55" i="48083"/>
  <c r="AG55" i="48083"/>
  <c r="AF55" i="48083"/>
  <c r="AC55" i="48083"/>
  <c r="AA55" i="48083"/>
  <c r="Z55" i="48083"/>
  <c r="Y55" i="48083"/>
  <c r="X55" i="48083"/>
  <c r="U55" i="48083"/>
  <c r="T55" i="48083"/>
  <c r="Q55" i="48083"/>
  <c r="P55" i="48083"/>
  <c r="E55" i="48083"/>
  <c r="H55" i="48083"/>
  <c r="G55" i="48083"/>
  <c r="F55" i="48083" s="1"/>
  <c r="AI54" i="48083"/>
  <c r="AG54" i="48083"/>
  <c r="AF54" i="48083"/>
  <c r="AC54" i="48083"/>
  <c r="AA54" i="48083"/>
  <c r="Z54" i="48083"/>
  <c r="AB54" i="48083" s="1"/>
  <c r="Y54" i="48083"/>
  <c r="X54" i="48083"/>
  <c r="U54" i="48083"/>
  <c r="T54" i="48083"/>
  <c r="Q54" i="48083"/>
  <c r="P54" i="48083"/>
  <c r="E54" i="48083"/>
  <c r="H54" i="48083"/>
  <c r="G54" i="48083"/>
  <c r="F54" i="48083" s="1"/>
  <c r="AI53" i="48083"/>
  <c r="AG53" i="48083"/>
  <c r="AF53" i="48083"/>
  <c r="AC53" i="48083"/>
  <c r="AA53" i="48083"/>
  <c r="Z53" i="48083"/>
  <c r="Y53" i="48083"/>
  <c r="X53" i="48083"/>
  <c r="U53" i="48083"/>
  <c r="T53" i="48083"/>
  <c r="Q53" i="48083"/>
  <c r="P53" i="48083"/>
  <c r="E53" i="48083"/>
  <c r="H53" i="48083"/>
  <c r="G53" i="48083"/>
  <c r="F53" i="48083" s="1"/>
  <c r="AI52" i="48083"/>
  <c r="AG52" i="48083"/>
  <c r="AF52" i="48083"/>
  <c r="AC52" i="48083"/>
  <c r="AA52" i="48083"/>
  <c r="Z52" i="48083"/>
  <c r="Y52" i="48083"/>
  <c r="X52" i="48083"/>
  <c r="U52" i="48083"/>
  <c r="T52" i="48083"/>
  <c r="Q52" i="48083"/>
  <c r="P52" i="48083"/>
  <c r="E52" i="48083"/>
  <c r="H52" i="48083"/>
  <c r="G52" i="48083"/>
  <c r="F52" i="48083" s="1"/>
  <c r="AI51" i="48083"/>
  <c r="AG51" i="48083"/>
  <c r="AF51" i="48083"/>
  <c r="AC51" i="48083"/>
  <c r="AA51" i="48083"/>
  <c r="Z51" i="48083"/>
  <c r="Y51" i="48083"/>
  <c r="X51" i="48083"/>
  <c r="U51" i="48083"/>
  <c r="T51" i="48083"/>
  <c r="Q51" i="48083"/>
  <c r="P51" i="48083"/>
  <c r="E51" i="48083"/>
  <c r="H51" i="48083"/>
  <c r="G51" i="48083"/>
  <c r="F51" i="48083" s="1"/>
  <c r="AI50" i="48083"/>
  <c r="AG50" i="48083"/>
  <c r="AF50" i="48083"/>
  <c r="AC50" i="48083"/>
  <c r="AA50" i="48083"/>
  <c r="Z50" i="48083"/>
  <c r="Y50" i="48083"/>
  <c r="X50" i="48083"/>
  <c r="U50" i="48083"/>
  <c r="T50" i="48083"/>
  <c r="Q50" i="48083"/>
  <c r="P50" i="48083"/>
  <c r="E50" i="48083"/>
  <c r="H50" i="48083"/>
  <c r="G50" i="48083"/>
  <c r="F50" i="48083" s="1"/>
  <c r="AI49" i="48083"/>
  <c r="AG49" i="48083"/>
  <c r="AF49" i="48083"/>
  <c r="AC49" i="48083"/>
  <c r="AA49" i="48083"/>
  <c r="Z49" i="48083"/>
  <c r="Y49" i="48083"/>
  <c r="X49" i="48083"/>
  <c r="U49" i="48083"/>
  <c r="T49" i="48083"/>
  <c r="Q49" i="48083"/>
  <c r="P49" i="48083"/>
  <c r="E49" i="48083"/>
  <c r="H49" i="48083"/>
  <c r="G49" i="48083"/>
  <c r="F49" i="48083" s="1"/>
  <c r="V24" i="48083"/>
  <c r="AE23" i="48083"/>
  <c r="AC23" i="48083"/>
  <c r="AC24" i="48083" s="1"/>
  <c r="AA23" i="48083"/>
  <c r="W23" i="48083"/>
  <c r="X23" i="48083" s="1"/>
  <c r="U23" i="48083"/>
  <c r="U24" i="48083" s="1"/>
  <c r="S23" i="48083"/>
  <c r="S24" i="48083" s="1"/>
  <c r="R23" i="48083"/>
  <c r="Q23" i="48083"/>
  <c r="Q24" i="48083" s="1"/>
  <c r="O23" i="48083"/>
  <c r="O24" i="48083" s="1"/>
  <c r="N23" i="48083"/>
  <c r="N24" i="48083" s="1"/>
  <c r="J23" i="48083"/>
  <c r="X22" i="48083"/>
  <c r="R22" i="48083"/>
  <c r="T22" i="48083" s="1"/>
  <c r="P22" i="48083"/>
  <c r="J22" i="48083"/>
  <c r="G22" i="48083"/>
  <c r="X21" i="48083"/>
  <c r="T21" i="48083"/>
  <c r="P21" i="48083"/>
  <c r="J21" i="48083"/>
  <c r="E21" i="48083"/>
  <c r="H21" i="48083"/>
  <c r="G21" i="48083"/>
  <c r="F21" i="48083" s="1"/>
  <c r="X20" i="48083"/>
  <c r="R20" i="48083"/>
  <c r="T20" i="48083" s="1"/>
  <c r="P20" i="48083"/>
  <c r="J20" i="48083"/>
  <c r="G20" i="48083"/>
  <c r="X19" i="48083"/>
  <c r="R19" i="48083"/>
  <c r="T19" i="48083" s="1"/>
  <c r="P19" i="48083"/>
  <c r="J19" i="48083"/>
  <c r="E19" i="48083"/>
  <c r="H19" i="48083"/>
  <c r="G19" i="48083"/>
  <c r="F19" i="48083" s="1"/>
  <c r="X18" i="48083"/>
  <c r="R18" i="48083"/>
  <c r="P18" i="48083"/>
  <c r="J18" i="48083"/>
  <c r="X17" i="48083"/>
  <c r="T17" i="48083"/>
  <c r="P17" i="48083"/>
  <c r="J17" i="48083"/>
  <c r="E17" i="48083"/>
  <c r="O23" i="48082"/>
  <c r="L23" i="48082"/>
  <c r="L22" i="48082"/>
  <c r="L20" i="48082"/>
  <c r="L19" i="48082"/>
  <c r="M19" i="48082" s="1"/>
  <c r="L18" i="48082"/>
  <c r="G52" i="48082"/>
  <c r="G56" i="48082"/>
  <c r="G60" i="48082"/>
  <c r="G20" i="48082"/>
  <c r="AD62" i="48082"/>
  <c r="X62" i="48082"/>
  <c r="T62" i="48082"/>
  <c r="U62" i="48082"/>
  <c r="S62" i="48082"/>
  <c r="P62" i="48082"/>
  <c r="Q62" i="48082"/>
  <c r="O62" i="48082"/>
  <c r="L62" i="48082"/>
  <c r="M62" i="48082" s="1"/>
  <c r="K62" i="48082"/>
  <c r="AF61" i="48082"/>
  <c r="AG61" i="48082" s="1"/>
  <c r="AC61" i="48082"/>
  <c r="AH61" i="48082"/>
  <c r="Z61" i="48082"/>
  <c r="AA61" i="48082" s="1"/>
  <c r="W61" i="48082"/>
  <c r="Y61" i="48082"/>
  <c r="V61" i="48082"/>
  <c r="U61" i="48082"/>
  <c r="R61" i="48082"/>
  <c r="Q61" i="48082"/>
  <c r="N61" i="48082"/>
  <c r="M61" i="48082"/>
  <c r="D61" i="48082"/>
  <c r="C61" i="48082"/>
  <c r="E61" i="48082" s="1"/>
  <c r="AG60" i="48082"/>
  <c r="AF60" i="48082"/>
  <c r="AC60" i="48082"/>
  <c r="AH60" i="48082" s="1"/>
  <c r="AA60" i="48082"/>
  <c r="Z60" i="48082"/>
  <c r="W60" i="48082"/>
  <c r="Y60" i="48082" s="1"/>
  <c r="V60" i="48082"/>
  <c r="U60" i="48082"/>
  <c r="R60" i="48082"/>
  <c r="Q60" i="48082"/>
  <c r="N60" i="48082"/>
  <c r="M60" i="48082"/>
  <c r="D60" i="48082"/>
  <c r="C60" i="48082"/>
  <c r="E60" i="48082"/>
  <c r="AF59" i="48082"/>
  <c r="AG59" i="48082" s="1"/>
  <c r="AC59" i="48082"/>
  <c r="AH59" i="48082"/>
  <c r="Z59" i="48082"/>
  <c r="AA59" i="48082" s="1"/>
  <c r="W59" i="48082"/>
  <c r="Y59" i="48082"/>
  <c r="V59" i="48082"/>
  <c r="U59" i="48082"/>
  <c r="R59" i="48082"/>
  <c r="Q59" i="48082"/>
  <c r="N59" i="48082"/>
  <c r="M59" i="48082"/>
  <c r="D59" i="48082"/>
  <c r="E59" i="48082" s="1"/>
  <c r="C59" i="48082"/>
  <c r="G59" i="48082" s="1"/>
  <c r="AG58" i="48082"/>
  <c r="AF58" i="48082"/>
  <c r="AC58" i="48082"/>
  <c r="AH58" i="48082" s="1"/>
  <c r="AA58" i="48082"/>
  <c r="Z58" i="48082"/>
  <c r="W58" i="48082"/>
  <c r="Y58" i="48082" s="1"/>
  <c r="V58" i="48082"/>
  <c r="U58" i="48082"/>
  <c r="R58" i="48082"/>
  <c r="Q58" i="48082"/>
  <c r="N58" i="48082"/>
  <c r="M58" i="48082"/>
  <c r="D58" i="48082"/>
  <c r="E58" i="48082" s="1"/>
  <c r="C58" i="48082"/>
  <c r="G58" i="48082" s="1"/>
  <c r="AF57" i="48082"/>
  <c r="AG57" i="48082" s="1"/>
  <c r="AC57" i="48082"/>
  <c r="AH57" i="48082"/>
  <c r="Z57" i="48082"/>
  <c r="AA57" i="48082" s="1"/>
  <c r="W57" i="48082"/>
  <c r="Y57" i="48082"/>
  <c r="V57" i="48082"/>
  <c r="U57" i="48082"/>
  <c r="R57" i="48082"/>
  <c r="Q57" i="48082"/>
  <c r="N57" i="48082"/>
  <c r="M57" i="48082"/>
  <c r="D57" i="48082"/>
  <c r="C57" i="48082"/>
  <c r="E57" i="48082" s="1"/>
  <c r="AG56" i="48082"/>
  <c r="AF56" i="48082"/>
  <c r="AC56" i="48082"/>
  <c r="AH56" i="48082" s="1"/>
  <c r="AA56" i="48082"/>
  <c r="Z56" i="48082"/>
  <c r="W56" i="48082"/>
  <c r="Y56" i="48082" s="1"/>
  <c r="V56" i="48082"/>
  <c r="U56" i="48082"/>
  <c r="R56" i="48082"/>
  <c r="Q56" i="48082"/>
  <c r="N56" i="48082"/>
  <c r="M56" i="48082"/>
  <c r="D56" i="48082"/>
  <c r="C56" i="48082"/>
  <c r="E56" i="48082"/>
  <c r="AF55" i="48082"/>
  <c r="AG55" i="48082" s="1"/>
  <c r="AC55" i="48082"/>
  <c r="AH55" i="48082"/>
  <c r="Z55" i="48082"/>
  <c r="AA55" i="48082" s="1"/>
  <c r="W55" i="48082"/>
  <c r="Y55" i="48082"/>
  <c r="V55" i="48082"/>
  <c r="U55" i="48082"/>
  <c r="R55" i="48082"/>
  <c r="Q55" i="48082"/>
  <c r="N55" i="48082"/>
  <c r="M55" i="48082"/>
  <c r="D55" i="48082"/>
  <c r="E55" i="48082" s="1"/>
  <c r="C55" i="48082"/>
  <c r="G55" i="48082" s="1"/>
  <c r="AG54" i="48082"/>
  <c r="AF54" i="48082"/>
  <c r="AC54" i="48082"/>
  <c r="AH54" i="48082" s="1"/>
  <c r="AA54" i="48082"/>
  <c r="Z54" i="48082"/>
  <c r="W54" i="48082"/>
  <c r="Y54" i="48082" s="1"/>
  <c r="V54" i="48082"/>
  <c r="U54" i="48082"/>
  <c r="R54" i="48082"/>
  <c r="Q54" i="48082"/>
  <c r="N54" i="48082"/>
  <c r="M54" i="48082"/>
  <c r="D54" i="48082"/>
  <c r="E54" i="48082" s="1"/>
  <c r="C54" i="48082"/>
  <c r="G54" i="48082" s="1"/>
  <c r="AF53" i="48082"/>
  <c r="AG53" i="48082" s="1"/>
  <c r="AC53" i="48082"/>
  <c r="AH53" i="48082"/>
  <c r="Z53" i="48082"/>
  <c r="AA53" i="48082" s="1"/>
  <c r="W53" i="48082"/>
  <c r="Y53" i="48082"/>
  <c r="V53" i="48082"/>
  <c r="U53" i="48082"/>
  <c r="R53" i="48082"/>
  <c r="Q53" i="48082"/>
  <c r="N53" i="48082"/>
  <c r="M53" i="48082"/>
  <c r="D53" i="48082"/>
  <c r="C53" i="48082"/>
  <c r="E53" i="48082" s="1"/>
  <c r="AG52" i="48082"/>
  <c r="AF52" i="48082"/>
  <c r="AC52" i="48082"/>
  <c r="AH52" i="48082" s="1"/>
  <c r="AA52" i="48082"/>
  <c r="Z52" i="48082"/>
  <c r="W52" i="48082"/>
  <c r="Y52" i="48082" s="1"/>
  <c r="V52" i="48082"/>
  <c r="U52" i="48082"/>
  <c r="R52" i="48082"/>
  <c r="Q52" i="48082"/>
  <c r="N52" i="48082"/>
  <c r="M52" i="48082"/>
  <c r="D52" i="48082"/>
  <c r="C52" i="48082"/>
  <c r="E52" i="48082"/>
  <c r="AF51" i="48082"/>
  <c r="AG51" i="48082" s="1"/>
  <c r="AC51" i="48082"/>
  <c r="AH51" i="48082"/>
  <c r="Z51" i="48082"/>
  <c r="AA51" i="48082" s="1"/>
  <c r="W51" i="48082"/>
  <c r="Y51" i="48082"/>
  <c r="V51" i="48082"/>
  <c r="U51" i="48082"/>
  <c r="R51" i="48082"/>
  <c r="Q51" i="48082"/>
  <c r="N51" i="48082"/>
  <c r="M51" i="48082"/>
  <c r="D51" i="48082"/>
  <c r="C51" i="48082"/>
  <c r="G51" i="48082" s="1"/>
  <c r="AG50" i="48082"/>
  <c r="AF50" i="48082"/>
  <c r="AC50" i="48082"/>
  <c r="AH50" i="48082" s="1"/>
  <c r="AA50" i="48082"/>
  <c r="Z50" i="48082"/>
  <c r="W50" i="48082"/>
  <c r="Y50" i="48082" s="1"/>
  <c r="V50" i="48082"/>
  <c r="U50" i="48082"/>
  <c r="R50" i="48082"/>
  <c r="R62" i="48082" s="1"/>
  <c r="Q50" i="48082"/>
  <c r="N50" i="48082"/>
  <c r="M50" i="48082"/>
  <c r="D50" i="48082"/>
  <c r="D62" i="48082" s="1"/>
  <c r="C50" i="48082"/>
  <c r="G50" i="48082" s="1"/>
  <c r="AG49" i="48082"/>
  <c r="AF49" i="48082"/>
  <c r="AC49" i="48082"/>
  <c r="AC62" i="48082" s="1"/>
  <c r="AA49" i="48082"/>
  <c r="Z49" i="48082"/>
  <c r="W49" i="48082"/>
  <c r="Y49" i="48082" s="1"/>
  <c r="V49" i="48082"/>
  <c r="V62" i="48082" s="1"/>
  <c r="U49" i="48082"/>
  <c r="R49" i="48082"/>
  <c r="Q49" i="48082"/>
  <c r="N49" i="48082"/>
  <c r="M49" i="48082"/>
  <c r="D49" i="48082"/>
  <c r="C49" i="48082"/>
  <c r="G49" i="48082" s="1"/>
  <c r="S24" i="48082"/>
  <c r="AB23" i="48082"/>
  <c r="AB24" i="48082"/>
  <c r="Z23" i="48082"/>
  <c r="Z24" i="48082"/>
  <c r="X23" i="48082"/>
  <c r="Y23" i="48082"/>
  <c r="T23" i="48082"/>
  <c r="R23" i="48082"/>
  <c r="R24" i="48082" s="1"/>
  <c r="P23" i="48082"/>
  <c r="P24" i="48082" s="1"/>
  <c r="N23" i="48082"/>
  <c r="N24" i="48082"/>
  <c r="K23" i="48082"/>
  <c r="J23" i="48082"/>
  <c r="D23" i="48082"/>
  <c r="AC22" i="48082"/>
  <c r="Y22" i="48082"/>
  <c r="U22" i="48082"/>
  <c r="Q22" i="48082"/>
  <c r="J22" i="48082"/>
  <c r="D22" i="48082"/>
  <c r="E22" i="48082"/>
  <c r="C22" i="48082"/>
  <c r="G22" i="48082" s="1"/>
  <c r="AC21" i="48082"/>
  <c r="Y21" i="48082"/>
  <c r="U21" i="48082"/>
  <c r="Q21" i="48082"/>
  <c r="M21" i="48082"/>
  <c r="J21" i="48082"/>
  <c r="D21" i="48082"/>
  <c r="C21" i="48082"/>
  <c r="G21" i="48082" s="1"/>
  <c r="AC20" i="48082"/>
  <c r="Y20" i="48082"/>
  <c r="U20" i="48082"/>
  <c r="Q20" i="48082"/>
  <c r="M20" i="48082"/>
  <c r="D20" i="48082"/>
  <c r="E20" i="48082" s="1"/>
  <c r="J20" i="48082"/>
  <c r="C20" i="48082"/>
  <c r="AC19" i="48082"/>
  <c r="Y19" i="48082"/>
  <c r="U19" i="48082"/>
  <c r="Q19" i="48082"/>
  <c r="J19" i="48082"/>
  <c r="C19" i="48082"/>
  <c r="G19" i="48082" s="1"/>
  <c r="AC18" i="48082"/>
  <c r="U18" i="48082"/>
  <c r="Q18" i="48082"/>
  <c r="M18" i="48082"/>
  <c r="D18" i="48082"/>
  <c r="J18" i="48082"/>
  <c r="C18" i="48082"/>
  <c r="G18" i="48082" s="1"/>
  <c r="U17" i="48082"/>
  <c r="Q17" i="48082"/>
  <c r="M17" i="48082"/>
  <c r="J17" i="48082"/>
  <c r="D17" i="48082"/>
  <c r="C17" i="48082"/>
  <c r="G17" i="48082" s="1"/>
  <c r="E17" i="48082"/>
  <c r="AD61" i="48081"/>
  <c r="AD60" i="48081"/>
  <c r="AE60" i="48081" s="1"/>
  <c r="AD59" i="48081"/>
  <c r="AD58" i="48081"/>
  <c r="AD57" i="48081"/>
  <c r="AD56" i="48081"/>
  <c r="AE56" i="48081" s="1"/>
  <c r="AD55" i="48081"/>
  <c r="AD54" i="48081"/>
  <c r="AD53" i="48081"/>
  <c r="AD52" i="48081"/>
  <c r="AD51" i="48081"/>
  <c r="AD50" i="48081"/>
  <c r="AD49" i="48081"/>
  <c r="AD62" i="48081" s="1"/>
  <c r="X61" i="48081"/>
  <c r="X60" i="48081"/>
  <c r="X59" i="48081"/>
  <c r="X58" i="48081"/>
  <c r="X57" i="48081"/>
  <c r="X56" i="48081"/>
  <c r="X55" i="48081"/>
  <c r="X54" i="48081"/>
  <c r="X53" i="48081"/>
  <c r="X52" i="48081"/>
  <c r="X51" i="48081"/>
  <c r="Y51" i="48081" s="1"/>
  <c r="X50" i="48081"/>
  <c r="AA50" i="48081" s="1"/>
  <c r="X49" i="48081"/>
  <c r="L23" i="48081"/>
  <c r="D23" i="48081" s="1"/>
  <c r="L22" i="48081"/>
  <c r="L20" i="48081"/>
  <c r="L19" i="48081"/>
  <c r="L18" i="48081"/>
  <c r="D18" i="48081" s="1"/>
  <c r="G61" i="48081"/>
  <c r="G57" i="48081"/>
  <c r="G55" i="48081"/>
  <c r="G51" i="48081"/>
  <c r="G19" i="48081"/>
  <c r="T62" i="48081"/>
  <c r="U62" i="48081" s="1"/>
  <c r="S62" i="48081"/>
  <c r="P62" i="48081"/>
  <c r="O62" i="48081"/>
  <c r="L62" i="48081"/>
  <c r="M62" i="48081"/>
  <c r="K62" i="48081"/>
  <c r="AF61" i="48081"/>
  <c r="AG61" i="48081" s="1"/>
  <c r="AE61" i="48081"/>
  <c r="AC61" i="48081"/>
  <c r="AH61" i="48081"/>
  <c r="Z61" i="48081"/>
  <c r="W61" i="48081"/>
  <c r="V61" i="48081"/>
  <c r="U61" i="48081"/>
  <c r="R61" i="48081"/>
  <c r="Q61" i="48081"/>
  <c r="N61" i="48081"/>
  <c r="M61" i="48081"/>
  <c r="D61" i="48081"/>
  <c r="E61" i="48081"/>
  <c r="C61" i="48081"/>
  <c r="AF60" i="48081"/>
  <c r="AC60" i="48081"/>
  <c r="AH60" i="48081"/>
  <c r="Z60" i="48081"/>
  <c r="AB60" i="48081"/>
  <c r="W60" i="48081"/>
  <c r="V60" i="48081"/>
  <c r="U60" i="48081"/>
  <c r="R60" i="48081"/>
  <c r="Q60" i="48081"/>
  <c r="N60" i="48081"/>
  <c r="M60" i="48081"/>
  <c r="H60" i="48081"/>
  <c r="D60" i="48081"/>
  <c r="E60" i="48081"/>
  <c r="C60" i="48081"/>
  <c r="G60" i="48081" s="1"/>
  <c r="F60" i="48081"/>
  <c r="AF59" i="48081"/>
  <c r="AC59" i="48081"/>
  <c r="AH59" i="48081" s="1"/>
  <c r="Z59" i="48081"/>
  <c r="W59" i="48081"/>
  <c r="V59" i="48081"/>
  <c r="U59" i="48081"/>
  <c r="R59" i="48081"/>
  <c r="Q59" i="48081"/>
  <c r="N59" i="48081"/>
  <c r="M59" i="48081"/>
  <c r="D59" i="48081"/>
  <c r="C59" i="48081"/>
  <c r="G59" i="48081" s="1"/>
  <c r="AF58" i="48081"/>
  <c r="AG58" i="48081"/>
  <c r="AC58" i="48081"/>
  <c r="AE58" i="48081" s="1"/>
  <c r="AH58" i="48081"/>
  <c r="Z58" i="48081"/>
  <c r="W58" i="48081"/>
  <c r="V58" i="48081"/>
  <c r="U58" i="48081"/>
  <c r="R58" i="48081"/>
  <c r="Q58" i="48081"/>
  <c r="N58" i="48081"/>
  <c r="M58" i="48081"/>
  <c r="D58" i="48081"/>
  <c r="E58" i="48081" s="1"/>
  <c r="C58" i="48081"/>
  <c r="AF57" i="48081"/>
  <c r="AG57" i="48081" s="1"/>
  <c r="AE57" i="48081"/>
  <c r="AC57" i="48081"/>
  <c r="AH57" i="48081"/>
  <c r="Z57" i="48081"/>
  <c r="W57" i="48081"/>
  <c r="V57" i="48081"/>
  <c r="U57" i="48081"/>
  <c r="R57" i="48081"/>
  <c r="Q57" i="48081"/>
  <c r="N57" i="48081"/>
  <c r="M57" i="48081"/>
  <c r="D57" i="48081"/>
  <c r="E57" i="48081"/>
  <c r="C57" i="48081"/>
  <c r="AF56" i="48081"/>
  <c r="AC56" i="48081"/>
  <c r="Z56" i="48081"/>
  <c r="W56" i="48081"/>
  <c r="AB56" i="48081" s="1"/>
  <c r="V56" i="48081"/>
  <c r="U56" i="48081"/>
  <c r="R56" i="48081"/>
  <c r="Q56" i="48081"/>
  <c r="N56" i="48081"/>
  <c r="M56" i="48081"/>
  <c r="D56" i="48081"/>
  <c r="E56" i="48081" s="1"/>
  <c r="C56" i="48081"/>
  <c r="AF55" i="48081"/>
  <c r="AG55" i="48081" s="1"/>
  <c r="AE55" i="48081"/>
  <c r="AC55" i="48081"/>
  <c r="AH55" i="48081"/>
  <c r="Z55" i="48081"/>
  <c r="W55" i="48081"/>
  <c r="V55" i="48081"/>
  <c r="U55" i="48081"/>
  <c r="R55" i="48081"/>
  <c r="Q55" i="48081"/>
  <c r="N55" i="48081"/>
  <c r="M55" i="48081"/>
  <c r="D55" i="48081"/>
  <c r="E55" i="48081"/>
  <c r="C55" i="48081"/>
  <c r="AF54" i="48081"/>
  <c r="AC54" i="48081"/>
  <c r="AE54" i="48081" s="1"/>
  <c r="Z54" i="48081"/>
  <c r="W54" i="48081"/>
  <c r="AB54" i="48081" s="1"/>
  <c r="V54" i="48081"/>
  <c r="U54" i="48081"/>
  <c r="R54" i="48081"/>
  <c r="Q54" i="48081"/>
  <c r="N54" i="48081"/>
  <c r="M54" i="48081"/>
  <c r="D54" i="48081"/>
  <c r="C54" i="48081"/>
  <c r="AF53" i="48081"/>
  <c r="AC53" i="48081"/>
  <c r="Z53" i="48081"/>
  <c r="W53" i="48081"/>
  <c r="V53" i="48081"/>
  <c r="U53" i="48081"/>
  <c r="R53" i="48081"/>
  <c r="Q53" i="48081"/>
  <c r="N53" i="48081"/>
  <c r="M53" i="48081"/>
  <c r="D53" i="48081"/>
  <c r="E53" i="48081"/>
  <c r="C53" i="48081"/>
  <c r="G53" i="48081" s="1"/>
  <c r="AF52" i="48081"/>
  <c r="AG52" i="48081" s="1"/>
  <c r="AC52" i="48081"/>
  <c r="AE52" i="48081" s="1"/>
  <c r="Z52" i="48081"/>
  <c r="W52" i="48081"/>
  <c r="V52" i="48081"/>
  <c r="U52" i="48081"/>
  <c r="R52" i="48081"/>
  <c r="Q52" i="48081"/>
  <c r="N52" i="48081"/>
  <c r="M52" i="48081"/>
  <c r="D52" i="48081"/>
  <c r="E52" i="48081" s="1"/>
  <c r="C52" i="48081"/>
  <c r="AF51" i="48081"/>
  <c r="AG51" i="48081" s="1"/>
  <c r="AE51" i="48081"/>
  <c r="AC51" i="48081"/>
  <c r="AH51" i="48081"/>
  <c r="Z51" i="48081"/>
  <c r="W51" i="48081"/>
  <c r="AB51" i="48081" s="1"/>
  <c r="V51" i="48081"/>
  <c r="U51" i="48081"/>
  <c r="R51" i="48081"/>
  <c r="Q51" i="48081"/>
  <c r="N51" i="48081"/>
  <c r="M51" i="48081"/>
  <c r="D51" i="48081"/>
  <c r="C51" i="48081"/>
  <c r="H51" i="48081" s="1"/>
  <c r="AF50" i="48081"/>
  <c r="AG50" i="48081"/>
  <c r="AC50" i="48081"/>
  <c r="Z50" i="48081"/>
  <c r="W50" i="48081"/>
  <c r="V50" i="48081"/>
  <c r="U50" i="48081"/>
  <c r="R50" i="48081"/>
  <c r="Q50" i="48081"/>
  <c r="N50" i="48081"/>
  <c r="M50" i="48081"/>
  <c r="D50" i="48081"/>
  <c r="E50" i="48081"/>
  <c r="C50" i="48081"/>
  <c r="G50" i="48081" s="1"/>
  <c r="AG49" i="48081"/>
  <c r="AF49" i="48081"/>
  <c r="AC49" i="48081"/>
  <c r="Z49" i="48081"/>
  <c r="W49" i="48081"/>
  <c r="V49" i="48081"/>
  <c r="U49" i="48081"/>
  <c r="R49" i="48081"/>
  <c r="Q49" i="48081"/>
  <c r="N49" i="48081"/>
  <c r="M49" i="48081"/>
  <c r="D49" i="48081"/>
  <c r="C49" i="48081"/>
  <c r="T24" i="48081"/>
  <c r="S24" i="48081"/>
  <c r="U24" i="48081"/>
  <c r="K24" i="48081"/>
  <c r="AB23" i="48081"/>
  <c r="AB24" i="48081"/>
  <c r="Z23" i="48081"/>
  <c r="Z24" i="48081" s="1"/>
  <c r="X23" i="48081"/>
  <c r="T23" i="48081"/>
  <c r="U23" i="48081"/>
  <c r="R23" i="48081"/>
  <c r="R24" i="48081"/>
  <c r="P23" i="48081"/>
  <c r="P24" i="48081" s="1"/>
  <c r="Q23" i="48081"/>
  <c r="N23" i="48081"/>
  <c r="N24" i="48081"/>
  <c r="K23" i="48081"/>
  <c r="J23" i="48081"/>
  <c r="U22" i="48081"/>
  <c r="Q22" i="48081"/>
  <c r="J22" i="48081"/>
  <c r="C22" i="48081"/>
  <c r="G22" i="48081" s="1"/>
  <c r="U21" i="48081"/>
  <c r="Q21" i="48081"/>
  <c r="M21" i="48081"/>
  <c r="J21" i="48081"/>
  <c r="D21" i="48081"/>
  <c r="C21" i="48081"/>
  <c r="U20" i="48081"/>
  <c r="Q20" i="48081"/>
  <c r="J20" i="48081"/>
  <c r="C20" i="48081"/>
  <c r="G20" i="48081" s="1"/>
  <c r="U19" i="48081"/>
  <c r="Q19" i="48081"/>
  <c r="M19" i="48081"/>
  <c r="D19" i="48081"/>
  <c r="J19" i="48081"/>
  <c r="C19" i="48081"/>
  <c r="U18" i="48081"/>
  <c r="Q18" i="48081"/>
  <c r="O24" i="48081"/>
  <c r="M18" i="48081"/>
  <c r="J18" i="48081"/>
  <c r="C18" i="48081"/>
  <c r="G18" i="48081" s="1"/>
  <c r="U17" i="48081"/>
  <c r="Q17" i="48081"/>
  <c r="M17" i="48081"/>
  <c r="J17" i="48081"/>
  <c r="D17" i="48081"/>
  <c r="C17" i="48081"/>
  <c r="G17" i="48081" s="1"/>
  <c r="AD61" i="48080"/>
  <c r="AD60" i="48080"/>
  <c r="AD59" i="48080"/>
  <c r="AD58" i="48080"/>
  <c r="AD57" i="48080"/>
  <c r="AD56" i="48080"/>
  <c r="AD55" i="48080"/>
  <c r="AD54" i="48080"/>
  <c r="AD53" i="48080"/>
  <c r="AD52" i="48080"/>
  <c r="AG52" i="48080" s="1"/>
  <c r="AD51" i="48080"/>
  <c r="AD50" i="48080"/>
  <c r="AD49" i="48080"/>
  <c r="X61" i="48080"/>
  <c r="X60" i="48080"/>
  <c r="X59" i="48080"/>
  <c r="X58" i="48080"/>
  <c r="X57" i="48080"/>
  <c r="X56" i="48080"/>
  <c r="X55" i="48080"/>
  <c r="X54" i="48080"/>
  <c r="X53" i="48080"/>
  <c r="X52" i="48080"/>
  <c r="X51" i="48080"/>
  <c r="X50" i="48080"/>
  <c r="X49" i="48080"/>
  <c r="O23" i="48080"/>
  <c r="O22" i="48080"/>
  <c r="Q22" i="48080"/>
  <c r="O20" i="48080"/>
  <c r="O19" i="48080"/>
  <c r="Q19" i="48080" s="1"/>
  <c r="O18" i="48080"/>
  <c r="L23" i="48080"/>
  <c r="D23" i="48080"/>
  <c r="L22" i="48080"/>
  <c r="D22" i="48080"/>
  <c r="L20" i="48080"/>
  <c r="D20" i="48080"/>
  <c r="L19" i="48080"/>
  <c r="D19" i="48080"/>
  <c r="L18" i="48080"/>
  <c r="G59" i="48080"/>
  <c r="T62" i="48080"/>
  <c r="U62" i="48080"/>
  <c r="S62" i="48080"/>
  <c r="P62" i="48080"/>
  <c r="O62" i="48080"/>
  <c r="L62" i="48080"/>
  <c r="M62" i="48080"/>
  <c r="K62" i="48080"/>
  <c r="AF61" i="48080"/>
  <c r="AG61" i="48080" s="1"/>
  <c r="AC61" i="48080"/>
  <c r="Z61" i="48080"/>
  <c r="AA61" i="48080"/>
  <c r="W61" i="48080"/>
  <c r="AB61" i="48080"/>
  <c r="V61" i="48080"/>
  <c r="U61" i="48080"/>
  <c r="R61" i="48080"/>
  <c r="Q61" i="48080"/>
  <c r="N61" i="48080"/>
  <c r="M61" i="48080"/>
  <c r="D61" i="48080"/>
  <c r="C61" i="48080"/>
  <c r="H61" i="48080" s="1"/>
  <c r="AF60" i="48080"/>
  <c r="AC60" i="48080"/>
  <c r="Z60" i="48080"/>
  <c r="AA60" i="48080" s="1"/>
  <c r="W60" i="48080"/>
  <c r="AB60" i="48080" s="1"/>
  <c r="V60" i="48080"/>
  <c r="U60" i="48080"/>
  <c r="R60" i="48080"/>
  <c r="Q60" i="48080"/>
  <c r="N60" i="48080"/>
  <c r="M60" i="48080"/>
  <c r="D60" i="48080"/>
  <c r="E60" i="48080" s="1"/>
  <c r="C60" i="48080"/>
  <c r="G60" i="48080" s="1"/>
  <c r="F60" i="48080" s="1"/>
  <c r="AF59" i="48080"/>
  <c r="AC59" i="48080"/>
  <c r="AE59" i="48080" s="1"/>
  <c r="Z59" i="48080"/>
  <c r="W59" i="48080"/>
  <c r="V59" i="48080"/>
  <c r="U59" i="48080"/>
  <c r="R59" i="48080"/>
  <c r="Q59" i="48080"/>
  <c r="N59" i="48080"/>
  <c r="M59" i="48080"/>
  <c r="D59" i="48080"/>
  <c r="E59" i="48080"/>
  <c r="C59" i="48080"/>
  <c r="AF58" i="48080"/>
  <c r="AG58" i="48080" s="1"/>
  <c r="AC58" i="48080"/>
  <c r="Z58" i="48080"/>
  <c r="AA58" i="48080"/>
  <c r="W58" i="48080"/>
  <c r="V58" i="48080"/>
  <c r="U58" i="48080"/>
  <c r="R58" i="48080"/>
  <c r="Q58" i="48080"/>
  <c r="N58" i="48080"/>
  <c r="M58" i="48080"/>
  <c r="D58" i="48080"/>
  <c r="E58" i="48080"/>
  <c r="C58" i="48080"/>
  <c r="H58" i="48080" s="1"/>
  <c r="G58" i="48080"/>
  <c r="AF57" i="48080"/>
  <c r="AC57" i="48080"/>
  <c r="Z57" i="48080"/>
  <c r="W57" i="48080"/>
  <c r="V57" i="48080"/>
  <c r="U57" i="48080"/>
  <c r="R57" i="48080"/>
  <c r="Q57" i="48080"/>
  <c r="N57" i="48080"/>
  <c r="M57" i="48080"/>
  <c r="D57" i="48080"/>
  <c r="C57" i="48080"/>
  <c r="G57" i="48080" s="1"/>
  <c r="AF56" i="48080"/>
  <c r="AC56" i="48080"/>
  <c r="Z56" i="48080"/>
  <c r="W56" i="48080"/>
  <c r="AB56" i="48080" s="1"/>
  <c r="V56" i="48080"/>
  <c r="U56" i="48080"/>
  <c r="R56" i="48080"/>
  <c r="Q56" i="48080"/>
  <c r="N56" i="48080"/>
  <c r="M56" i="48080"/>
  <c r="D56" i="48080"/>
  <c r="C56" i="48080"/>
  <c r="E56" i="48080" s="1"/>
  <c r="AF55" i="48080"/>
  <c r="AC55" i="48080"/>
  <c r="AH55" i="48080" s="1"/>
  <c r="Z55" i="48080"/>
  <c r="AA55" i="48080" s="1"/>
  <c r="W55" i="48080"/>
  <c r="V55" i="48080"/>
  <c r="U55" i="48080"/>
  <c r="R55" i="48080"/>
  <c r="Q55" i="48080"/>
  <c r="N55" i="48080"/>
  <c r="M55" i="48080"/>
  <c r="D55" i="48080"/>
  <c r="C55" i="48080"/>
  <c r="G55" i="48080" s="1"/>
  <c r="F55" i="48080" s="1"/>
  <c r="AF54" i="48080"/>
  <c r="AC54" i="48080"/>
  <c r="Z54" i="48080"/>
  <c r="W54" i="48080"/>
  <c r="AB54" i="48080" s="1"/>
  <c r="V54" i="48080"/>
  <c r="U54" i="48080"/>
  <c r="R54" i="48080"/>
  <c r="Q54" i="48080"/>
  <c r="N54" i="48080"/>
  <c r="M54" i="48080"/>
  <c r="D54" i="48080"/>
  <c r="C54" i="48080"/>
  <c r="G54" i="48080" s="1"/>
  <c r="AF53" i="48080"/>
  <c r="AG53" i="48080"/>
  <c r="AC53" i="48080"/>
  <c r="AE53" i="48080" s="1"/>
  <c r="Z53" i="48080"/>
  <c r="AA53" i="48080"/>
  <c r="Y53" i="48080"/>
  <c r="W53" i="48080"/>
  <c r="AB53" i="48080"/>
  <c r="V53" i="48080"/>
  <c r="U53" i="48080"/>
  <c r="R53" i="48080"/>
  <c r="Q53" i="48080"/>
  <c r="N53" i="48080"/>
  <c r="M53" i="48080"/>
  <c r="D53" i="48080"/>
  <c r="C53" i="48080"/>
  <c r="H53" i="48080" s="1"/>
  <c r="AF52" i="48080"/>
  <c r="AC52" i="48080"/>
  <c r="Z52" i="48080"/>
  <c r="AA52" i="48080" s="1"/>
  <c r="W52" i="48080"/>
  <c r="Y52" i="48080" s="1"/>
  <c r="AB52" i="48080"/>
  <c r="V52" i="48080"/>
  <c r="U52" i="48080"/>
  <c r="R52" i="48080"/>
  <c r="Q52" i="48080"/>
  <c r="N52" i="48080"/>
  <c r="M52" i="48080"/>
  <c r="D52" i="48080"/>
  <c r="E52" i="48080"/>
  <c r="C52" i="48080"/>
  <c r="G52" i="48080" s="1"/>
  <c r="AF51" i="48080"/>
  <c r="AC51" i="48080"/>
  <c r="AH51" i="48080" s="1"/>
  <c r="Z51" i="48080"/>
  <c r="AA51" i="48080" s="1"/>
  <c r="W51" i="48080"/>
  <c r="Y51" i="48080" s="1"/>
  <c r="V51" i="48080"/>
  <c r="U51" i="48080"/>
  <c r="R51" i="48080"/>
  <c r="Q51" i="48080"/>
  <c r="N51" i="48080"/>
  <c r="M51" i="48080"/>
  <c r="D51" i="48080"/>
  <c r="E51" i="48080"/>
  <c r="C51" i="48080"/>
  <c r="G51" i="48080" s="1"/>
  <c r="AF50" i="48080"/>
  <c r="AG50" i="48080"/>
  <c r="AC50" i="48080"/>
  <c r="AH50" i="48080" s="1"/>
  <c r="Z50" i="48080"/>
  <c r="AA50" i="48080" s="1"/>
  <c r="W50" i="48080"/>
  <c r="AB50" i="48080"/>
  <c r="V50" i="48080"/>
  <c r="U50" i="48080"/>
  <c r="R50" i="48080"/>
  <c r="Q50" i="48080"/>
  <c r="N50" i="48080"/>
  <c r="M50" i="48080"/>
  <c r="D50" i="48080"/>
  <c r="C50" i="48080"/>
  <c r="E50" i="48080" s="1"/>
  <c r="AF49" i="48080"/>
  <c r="AC49" i="48080"/>
  <c r="Z49" i="48080"/>
  <c r="Y49" i="48080"/>
  <c r="W49" i="48080"/>
  <c r="AB49" i="48080"/>
  <c r="V49" i="48080"/>
  <c r="U49" i="48080"/>
  <c r="R49" i="48080"/>
  <c r="Q49" i="48080"/>
  <c r="N49" i="48080"/>
  <c r="M49" i="48080"/>
  <c r="D49" i="48080"/>
  <c r="C49" i="48080"/>
  <c r="G49" i="48080"/>
  <c r="F49" i="48080" s="1"/>
  <c r="S24" i="48080"/>
  <c r="N24" i="48080"/>
  <c r="AB23" i="48080"/>
  <c r="AB24" i="48080" s="1"/>
  <c r="Z23" i="48080"/>
  <c r="Z24" i="48080"/>
  <c r="X23" i="48080"/>
  <c r="T23" i="48080"/>
  <c r="U23" i="48080" s="1"/>
  <c r="T24" i="48080"/>
  <c r="U24" i="48080" s="1"/>
  <c r="R23" i="48080"/>
  <c r="R24" i="48080" s="1"/>
  <c r="P23" i="48080"/>
  <c r="P24" i="48080"/>
  <c r="N23" i="48080"/>
  <c r="K23" i="48080"/>
  <c r="J23" i="48080"/>
  <c r="U22" i="48080"/>
  <c r="M22" i="48080"/>
  <c r="J22" i="48080"/>
  <c r="C22" i="48080"/>
  <c r="G22" i="48080" s="1"/>
  <c r="U21" i="48080"/>
  <c r="Q21" i="48080"/>
  <c r="M21" i="48080"/>
  <c r="J21" i="48080"/>
  <c r="D21" i="48080"/>
  <c r="E21" i="48080" s="1"/>
  <c r="C21" i="48080"/>
  <c r="G21" i="48080" s="1"/>
  <c r="U20" i="48080"/>
  <c r="Q20" i="48080"/>
  <c r="J20" i="48080"/>
  <c r="C20" i="48080"/>
  <c r="U19" i="48080"/>
  <c r="M19" i="48080"/>
  <c r="J19" i="48080"/>
  <c r="C19" i="48080"/>
  <c r="E19" i="48080" s="1"/>
  <c r="U18" i="48080"/>
  <c r="Q18" i="48080"/>
  <c r="M18" i="48080"/>
  <c r="J18" i="48080"/>
  <c r="D18" i="48080"/>
  <c r="C18" i="48080"/>
  <c r="G18" i="48080" s="1"/>
  <c r="U17" i="48080"/>
  <c r="Q17" i="48080"/>
  <c r="M17" i="48080"/>
  <c r="J17" i="48080"/>
  <c r="D17" i="48080"/>
  <c r="C17" i="48080"/>
  <c r="G17" i="48080" s="1"/>
  <c r="F17" i="48080" s="1"/>
  <c r="D61" i="48079"/>
  <c r="C61" i="48079"/>
  <c r="G61" i="48079"/>
  <c r="D60" i="48079"/>
  <c r="H60" i="48079" s="1"/>
  <c r="C60" i="48079"/>
  <c r="D59" i="48079"/>
  <c r="C59" i="48079"/>
  <c r="D58" i="48079"/>
  <c r="C58" i="48079"/>
  <c r="E58" i="48079" s="1"/>
  <c r="D57" i="48079"/>
  <c r="C57" i="48079"/>
  <c r="H57" i="48079" s="1"/>
  <c r="D56" i="48079"/>
  <c r="C56" i="48079"/>
  <c r="G56" i="48079"/>
  <c r="D55" i="48079"/>
  <c r="H55" i="48079" s="1"/>
  <c r="C55" i="48079"/>
  <c r="D54" i="48079"/>
  <c r="C54" i="48079"/>
  <c r="G54" i="48079" s="1"/>
  <c r="D53" i="48079"/>
  <c r="C53" i="48079"/>
  <c r="D52" i="48079"/>
  <c r="E52" i="48079" s="1"/>
  <c r="C52" i="48079"/>
  <c r="G52" i="48079" s="1"/>
  <c r="F52" i="48079" s="1"/>
  <c r="D51" i="48079"/>
  <c r="C51" i="48079"/>
  <c r="D50" i="48079"/>
  <c r="D49" i="48079"/>
  <c r="C50" i="48079"/>
  <c r="G50" i="48079" s="1"/>
  <c r="F50" i="48079" s="1"/>
  <c r="C49" i="48079"/>
  <c r="L62" i="48079"/>
  <c r="K62" i="48079"/>
  <c r="N61" i="48079"/>
  <c r="M61" i="48079"/>
  <c r="N60" i="48079"/>
  <c r="M60" i="48079"/>
  <c r="N59" i="48079"/>
  <c r="M59" i="48079"/>
  <c r="N58" i="48079"/>
  <c r="M58" i="48079"/>
  <c r="N57" i="48079"/>
  <c r="M57" i="48079"/>
  <c r="N56" i="48079"/>
  <c r="M56" i="48079"/>
  <c r="N55" i="48079"/>
  <c r="M55" i="48079"/>
  <c r="N54" i="48079"/>
  <c r="M54" i="48079"/>
  <c r="N53" i="48079"/>
  <c r="M53" i="48079"/>
  <c r="N52" i="48079"/>
  <c r="M52" i="48079"/>
  <c r="N51" i="48079"/>
  <c r="M51" i="48079"/>
  <c r="N50" i="48079"/>
  <c r="M50" i="48079"/>
  <c r="N49" i="48079"/>
  <c r="M49" i="48079"/>
  <c r="Z23" i="48079"/>
  <c r="Z24" i="48079" s="1"/>
  <c r="AB23" i="48079"/>
  <c r="X23" i="48079"/>
  <c r="T23" i="48079"/>
  <c r="L23" i="48079"/>
  <c r="M23" i="48079" s="1"/>
  <c r="P23" i="48079"/>
  <c r="P24" i="48079"/>
  <c r="N23" i="48079"/>
  <c r="R23" i="48079"/>
  <c r="D19" i="48079"/>
  <c r="H19" i="48079"/>
  <c r="D20" i="48079"/>
  <c r="D21" i="48079"/>
  <c r="D22" i="48079"/>
  <c r="D23" i="48079"/>
  <c r="D18" i="48079"/>
  <c r="D17" i="48079"/>
  <c r="C19" i="48079"/>
  <c r="C20" i="48079"/>
  <c r="G20" i="48079" s="1"/>
  <c r="C21" i="48079"/>
  <c r="C22" i="48079"/>
  <c r="C18" i="48079"/>
  <c r="C17" i="48079"/>
  <c r="G17" i="48079" s="1"/>
  <c r="F17" i="48079" s="1"/>
  <c r="M22" i="48079"/>
  <c r="M21" i="48079"/>
  <c r="M20" i="48079"/>
  <c r="M19" i="48079"/>
  <c r="M18" i="48079"/>
  <c r="M17" i="48079"/>
  <c r="K23" i="48079"/>
  <c r="C23" i="48079" s="1"/>
  <c r="K24" i="48079"/>
  <c r="U22" i="48079"/>
  <c r="U21" i="48079"/>
  <c r="U20" i="48079"/>
  <c r="U19" i="48079"/>
  <c r="U18" i="48079"/>
  <c r="U17" i="48079"/>
  <c r="Q21" i="48079"/>
  <c r="Q17" i="48079"/>
  <c r="T62" i="48079"/>
  <c r="S62" i="48079"/>
  <c r="U62" i="48079" s="1"/>
  <c r="P62" i="48079"/>
  <c r="O62" i="48079"/>
  <c r="Q62" i="48079" s="1"/>
  <c r="AF61" i="48079"/>
  <c r="AD61" i="48079"/>
  <c r="AC61" i="48079"/>
  <c r="AH61" i="48079" s="1"/>
  <c r="Z61" i="48079"/>
  <c r="X61" i="48079"/>
  <c r="AA61" i="48079" s="1"/>
  <c r="Y61" i="48079"/>
  <c r="W61" i="48079"/>
  <c r="AB61" i="48079" s="1"/>
  <c r="V61" i="48079"/>
  <c r="U61" i="48079"/>
  <c r="R61" i="48079"/>
  <c r="Q61" i="48079"/>
  <c r="AF60" i="48079"/>
  <c r="AG60" i="48079"/>
  <c r="AE60" i="48079"/>
  <c r="AD60" i="48079"/>
  <c r="AC60" i="48079"/>
  <c r="AH60" i="48079"/>
  <c r="AA60" i="48079"/>
  <c r="Z60" i="48079"/>
  <c r="X60" i="48079"/>
  <c r="W60" i="48079"/>
  <c r="AB60" i="48079" s="1"/>
  <c r="V60" i="48079"/>
  <c r="U60" i="48079"/>
  <c r="R60" i="48079"/>
  <c r="Q60" i="48079"/>
  <c r="AF59" i="48079"/>
  <c r="AD59" i="48079"/>
  <c r="AC59" i="48079"/>
  <c r="Z59" i="48079"/>
  <c r="X59" i="48079"/>
  <c r="Y59" i="48079" s="1"/>
  <c r="W59" i="48079"/>
  <c r="AB59" i="48079" s="1"/>
  <c r="V59" i="48079"/>
  <c r="U59" i="48079"/>
  <c r="R59" i="48079"/>
  <c r="Q59" i="48079"/>
  <c r="G59" i="48079"/>
  <c r="AF58" i="48079"/>
  <c r="AD58" i="48079"/>
  <c r="AC58" i="48079"/>
  <c r="Z58" i="48079"/>
  <c r="X58" i="48079"/>
  <c r="AA58" i="48079" s="1"/>
  <c r="W58" i="48079"/>
  <c r="AB58" i="48079" s="1"/>
  <c r="V58" i="48079"/>
  <c r="U58" i="48079"/>
  <c r="R58" i="48079"/>
  <c r="Q58" i="48079"/>
  <c r="AF57" i="48079"/>
  <c r="AD57" i="48079"/>
  <c r="AC57" i="48079"/>
  <c r="Z57" i="48079"/>
  <c r="X57" i="48079"/>
  <c r="Y57" i="48079" s="1"/>
  <c r="W57" i="48079"/>
  <c r="AB57" i="48079" s="1"/>
  <c r="V57" i="48079"/>
  <c r="U57" i="48079"/>
  <c r="R57" i="48079"/>
  <c r="Q57" i="48079"/>
  <c r="AF56" i="48079"/>
  <c r="AD56" i="48079"/>
  <c r="AE56" i="48079" s="1"/>
  <c r="AC56" i="48079"/>
  <c r="Z56" i="48079"/>
  <c r="X56" i="48079"/>
  <c r="W56" i="48079"/>
  <c r="V56" i="48079"/>
  <c r="U56" i="48079"/>
  <c r="R56" i="48079"/>
  <c r="Q56" i="48079"/>
  <c r="H56" i="48079"/>
  <c r="AG55" i="48079"/>
  <c r="AF55" i="48079"/>
  <c r="AD55" i="48079"/>
  <c r="AC55" i="48079"/>
  <c r="AE55" i="48079" s="1"/>
  <c r="Z55" i="48079"/>
  <c r="X55" i="48079"/>
  <c r="W55" i="48079"/>
  <c r="V55" i="48079"/>
  <c r="U55" i="48079"/>
  <c r="R55" i="48079"/>
  <c r="Q55" i="48079"/>
  <c r="G55" i="48079"/>
  <c r="F55" i="48079" s="1"/>
  <c r="AF54" i="48079"/>
  <c r="AE54" i="48079"/>
  <c r="AD54" i="48079"/>
  <c r="AC54" i="48079"/>
  <c r="AH54" i="48079" s="1"/>
  <c r="Z54" i="48079"/>
  <c r="AA54" i="48079" s="1"/>
  <c r="X54" i="48079"/>
  <c r="W54" i="48079"/>
  <c r="AB54" i="48079"/>
  <c r="V54" i="48079"/>
  <c r="U54" i="48079"/>
  <c r="R54" i="48079"/>
  <c r="Q54" i="48079"/>
  <c r="H54" i="48079"/>
  <c r="AF53" i="48079"/>
  <c r="AD53" i="48079"/>
  <c r="AG53" i="48079"/>
  <c r="AE53" i="48079"/>
  <c r="AC53" i="48079"/>
  <c r="AH53" i="48079"/>
  <c r="Z53" i="48079"/>
  <c r="X53" i="48079"/>
  <c r="W53" i="48079"/>
  <c r="V53" i="48079"/>
  <c r="U53" i="48079"/>
  <c r="R53" i="48079"/>
  <c r="Q53" i="48079"/>
  <c r="AF52" i="48079"/>
  <c r="AD52" i="48079"/>
  <c r="AE52" i="48079" s="1"/>
  <c r="AC52" i="48079"/>
  <c r="Z52" i="48079"/>
  <c r="X52" i="48079"/>
  <c r="AA52" i="48079" s="1"/>
  <c r="W52" i="48079"/>
  <c r="AB52" i="48079"/>
  <c r="V52" i="48079"/>
  <c r="U52" i="48079"/>
  <c r="R52" i="48079"/>
  <c r="Q52" i="48079"/>
  <c r="AF51" i="48079"/>
  <c r="AD51" i="48079"/>
  <c r="AC51" i="48079"/>
  <c r="AH51" i="48079"/>
  <c r="Z51" i="48079"/>
  <c r="X51" i="48079"/>
  <c r="W51" i="48079"/>
  <c r="V51" i="48079"/>
  <c r="U51" i="48079"/>
  <c r="R51" i="48079"/>
  <c r="Q51" i="48079"/>
  <c r="G51" i="48079"/>
  <c r="F51" i="48079" s="1"/>
  <c r="AF50" i="48079"/>
  <c r="AD50" i="48079"/>
  <c r="AC50" i="48079"/>
  <c r="AA50" i="48079"/>
  <c r="Z50" i="48079"/>
  <c r="X50" i="48079"/>
  <c r="W50" i="48079"/>
  <c r="AB50" i="48079" s="1"/>
  <c r="V50" i="48079"/>
  <c r="U50" i="48079"/>
  <c r="R50" i="48079"/>
  <c r="Q50" i="48079"/>
  <c r="AF49" i="48079"/>
  <c r="AD49" i="48079"/>
  <c r="AD62" i="48079" s="1"/>
  <c r="AC49" i="48079"/>
  <c r="AH49" i="48079"/>
  <c r="Z49" i="48079"/>
  <c r="X49" i="48079"/>
  <c r="W49" i="48079"/>
  <c r="V49" i="48079"/>
  <c r="U49" i="48079"/>
  <c r="R49" i="48079"/>
  <c r="Q49" i="48079"/>
  <c r="S24" i="48079"/>
  <c r="R24" i="48079"/>
  <c r="O23" i="48079"/>
  <c r="J23" i="48079"/>
  <c r="O22" i="48079"/>
  <c r="Q22" i="48079" s="1"/>
  <c r="J22" i="48079"/>
  <c r="J21" i="48079"/>
  <c r="O20" i="48079"/>
  <c r="Q20" i="48079" s="1"/>
  <c r="J20" i="48079"/>
  <c r="O19" i="48079"/>
  <c r="Q19" i="48079"/>
  <c r="J19" i="48079"/>
  <c r="O18" i="48079"/>
  <c r="Q18" i="48079" s="1"/>
  <c r="J18" i="48079"/>
  <c r="J17" i="48079"/>
  <c r="L23" i="48078"/>
  <c r="D23" i="48078" s="1"/>
  <c r="F23" i="48078" s="1"/>
  <c r="P62" i="48078"/>
  <c r="Q62" i="48078" s="1"/>
  <c r="O62" i="48078"/>
  <c r="L62" i="48078"/>
  <c r="K62" i="48078"/>
  <c r="AB61" i="48078"/>
  <c r="Y61" i="48078"/>
  <c r="AA61" i="48078" s="1"/>
  <c r="V61" i="48078"/>
  <c r="S61" i="48078"/>
  <c r="X61" i="48078" s="1"/>
  <c r="R61" i="48078"/>
  <c r="Q61" i="48078"/>
  <c r="N61" i="48078"/>
  <c r="M61" i="48078"/>
  <c r="D61" i="48078"/>
  <c r="E61" i="48078" s="1"/>
  <c r="C61" i="48078"/>
  <c r="G61" i="48078"/>
  <c r="F61" i="48078" s="1"/>
  <c r="AB60" i="48078"/>
  <c r="Y60" i="48078"/>
  <c r="AD60" i="48078" s="1"/>
  <c r="V60" i="48078"/>
  <c r="S60" i="48078"/>
  <c r="U60" i="48078"/>
  <c r="R60" i="48078"/>
  <c r="Q60" i="48078"/>
  <c r="N60" i="48078"/>
  <c r="M60" i="48078"/>
  <c r="D60" i="48078"/>
  <c r="C60" i="48078"/>
  <c r="G60" i="48078" s="1"/>
  <c r="F60" i="48078" s="1"/>
  <c r="AB59" i="48078"/>
  <c r="Y59" i="48078"/>
  <c r="AA59" i="48078" s="1"/>
  <c r="V59" i="48078"/>
  <c r="S59" i="48078"/>
  <c r="X59" i="48078"/>
  <c r="R59" i="48078"/>
  <c r="Q59" i="48078"/>
  <c r="N59" i="48078"/>
  <c r="M59" i="48078"/>
  <c r="D59" i="48078"/>
  <c r="C59" i="48078"/>
  <c r="AB58" i="48078"/>
  <c r="Y58" i="48078"/>
  <c r="AD58" i="48078" s="1"/>
  <c r="V58" i="48078"/>
  <c r="S58" i="48078"/>
  <c r="U58" i="48078" s="1"/>
  <c r="R58" i="48078"/>
  <c r="Q58" i="48078"/>
  <c r="N58" i="48078"/>
  <c r="M58" i="48078"/>
  <c r="D58" i="48078"/>
  <c r="C58" i="48078"/>
  <c r="H58" i="48078" s="1"/>
  <c r="AB57" i="48078"/>
  <c r="Y57" i="48078"/>
  <c r="AA57" i="48078" s="1"/>
  <c r="V57" i="48078"/>
  <c r="S57" i="48078"/>
  <c r="X57" i="48078" s="1"/>
  <c r="R57" i="48078"/>
  <c r="Q57" i="48078"/>
  <c r="N57" i="48078"/>
  <c r="M57" i="48078"/>
  <c r="D57" i="48078"/>
  <c r="E57" i="48078" s="1"/>
  <c r="C57" i="48078"/>
  <c r="G57" i="48078"/>
  <c r="AB56" i="48078"/>
  <c r="Y56" i="48078"/>
  <c r="AD56" i="48078" s="1"/>
  <c r="V56" i="48078"/>
  <c r="S56" i="48078"/>
  <c r="U56" i="48078" s="1"/>
  <c r="R56" i="48078"/>
  <c r="Q56" i="48078"/>
  <c r="N56" i="48078"/>
  <c r="M56" i="48078"/>
  <c r="D56" i="48078"/>
  <c r="C56" i="48078"/>
  <c r="H56" i="48078" s="1"/>
  <c r="AB55" i="48078"/>
  <c r="Y55" i="48078"/>
  <c r="AA55" i="48078" s="1"/>
  <c r="V55" i="48078"/>
  <c r="S55" i="48078"/>
  <c r="R55" i="48078"/>
  <c r="Q55" i="48078"/>
  <c r="N55" i="48078"/>
  <c r="M55" i="48078"/>
  <c r="D55" i="48078"/>
  <c r="E55" i="48078"/>
  <c r="C55" i="48078"/>
  <c r="H55" i="48078" s="1"/>
  <c r="AB54" i="48078"/>
  <c r="AD54" i="48078"/>
  <c r="Y54" i="48078"/>
  <c r="V54" i="48078"/>
  <c r="S54" i="48078"/>
  <c r="U54" i="48078" s="1"/>
  <c r="R54" i="48078"/>
  <c r="Q54" i="48078"/>
  <c r="N54" i="48078"/>
  <c r="M54" i="48078"/>
  <c r="D54" i="48078"/>
  <c r="C54" i="48078"/>
  <c r="AB53" i="48078"/>
  <c r="Y53" i="48078"/>
  <c r="AA53" i="48078" s="1"/>
  <c r="V53" i="48078"/>
  <c r="S53" i="48078"/>
  <c r="X53" i="48078" s="1"/>
  <c r="R53" i="48078"/>
  <c r="Q53" i="48078"/>
  <c r="N53" i="48078"/>
  <c r="M53" i="48078"/>
  <c r="D53" i="48078"/>
  <c r="C53" i="48078"/>
  <c r="G53" i="48078"/>
  <c r="AB52" i="48078"/>
  <c r="AD52" i="48078"/>
  <c r="Y52" i="48078"/>
  <c r="V52" i="48078"/>
  <c r="U52" i="48078"/>
  <c r="S52" i="48078"/>
  <c r="R52" i="48078"/>
  <c r="Q52" i="48078"/>
  <c r="N52" i="48078"/>
  <c r="M52" i="48078"/>
  <c r="D52" i="48078"/>
  <c r="C52" i="48078"/>
  <c r="G52" i="48078"/>
  <c r="F52" i="48078" s="1"/>
  <c r="AB51" i="48078"/>
  <c r="AA51" i="48078"/>
  <c r="Y51" i="48078"/>
  <c r="V51" i="48078"/>
  <c r="S51" i="48078"/>
  <c r="X51" i="48078" s="1"/>
  <c r="R51" i="48078"/>
  <c r="Q51" i="48078"/>
  <c r="N51" i="48078"/>
  <c r="M51" i="48078"/>
  <c r="D51" i="48078"/>
  <c r="C51" i="48078"/>
  <c r="AB50" i="48078"/>
  <c r="Y50" i="48078"/>
  <c r="AD50" i="48078" s="1"/>
  <c r="V50" i="48078"/>
  <c r="S50" i="48078"/>
  <c r="U50" i="48078" s="1"/>
  <c r="R50" i="48078"/>
  <c r="Q50" i="48078"/>
  <c r="N50" i="48078"/>
  <c r="M50" i="48078"/>
  <c r="D50" i="48078"/>
  <c r="C50" i="48078"/>
  <c r="AB49" i="48078"/>
  <c r="AB62" i="48078" s="1"/>
  <c r="Z62" i="48078"/>
  <c r="Y49" i="48078"/>
  <c r="V49" i="48078"/>
  <c r="S49" i="48078"/>
  <c r="X49" i="48078" s="1"/>
  <c r="R49" i="48078"/>
  <c r="Q49" i="48078"/>
  <c r="N49" i="48078"/>
  <c r="N62" i="48078"/>
  <c r="M49" i="48078"/>
  <c r="D49" i="48078"/>
  <c r="C49" i="48078"/>
  <c r="G49" i="48078"/>
  <c r="F49" i="48078" s="1"/>
  <c r="O24" i="48078"/>
  <c r="N23" i="48078"/>
  <c r="N24" i="48078"/>
  <c r="P24" i="48078" s="1"/>
  <c r="K23" i="48078"/>
  <c r="K24" i="48078"/>
  <c r="J23" i="48078"/>
  <c r="C23" i="48078"/>
  <c r="G23" i="48078"/>
  <c r="P22" i="48078"/>
  <c r="M22" i="48078"/>
  <c r="J22" i="48078"/>
  <c r="D22" i="48078"/>
  <c r="C22" i="48078"/>
  <c r="G22" i="48078"/>
  <c r="P21" i="48078"/>
  <c r="M21" i="48078"/>
  <c r="J21" i="48078"/>
  <c r="D21" i="48078"/>
  <c r="C21" i="48078"/>
  <c r="G21" i="48078"/>
  <c r="P20" i="48078"/>
  <c r="M20" i="48078"/>
  <c r="J20" i="48078"/>
  <c r="D20" i="48078"/>
  <c r="C20" i="48078"/>
  <c r="H20" i="48078" s="1"/>
  <c r="P19" i="48078"/>
  <c r="M19" i="48078"/>
  <c r="J19" i="48078"/>
  <c r="D19" i="48078"/>
  <c r="E19" i="48078" s="1"/>
  <c r="C19" i="48078"/>
  <c r="G19" i="48078" s="1"/>
  <c r="P18" i="48078"/>
  <c r="J18" i="48078"/>
  <c r="C18" i="48078"/>
  <c r="G18" i="48078" s="1"/>
  <c r="P17" i="48078"/>
  <c r="M17" i="48078"/>
  <c r="J17" i="48078"/>
  <c r="D17" i="48078"/>
  <c r="F17" i="48078" s="1"/>
  <c r="C17" i="48078"/>
  <c r="G17" i="48078" s="1"/>
  <c r="L23" i="48077"/>
  <c r="M23" i="48077" s="1"/>
  <c r="Z61" i="48077"/>
  <c r="AA61" i="48077"/>
  <c r="Z60" i="48077"/>
  <c r="Z59" i="48077"/>
  <c r="Z58" i="48077"/>
  <c r="Z57" i="48077"/>
  <c r="Z56" i="48077"/>
  <c r="Z55" i="48077"/>
  <c r="Z54" i="48077"/>
  <c r="Z53" i="48077"/>
  <c r="AA53" i="48077" s="1"/>
  <c r="Z52" i="48077"/>
  <c r="Z51" i="48077"/>
  <c r="Z50" i="48077"/>
  <c r="AA50" i="48077" s="1"/>
  <c r="Z49" i="48077"/>
  <c r="T61" i="48077"/>
  <c r="T60" i="48077"/>
  <c r="T59" i="48077"/>
  <c r="T58" i="48077"/>
  <c r="T57" i="48077"/>
  <c r="T56" i="48077"/>
  <c r="T55" i="48077"/>
  <c r="T54" i="48077"/>
  <c r="T53" i="48077"/>
  <c r="T52" i="48077"/>
  <c r="T51" i="48077"/>
  <c r="T50" i="48077"/>
  <c r="T49" i="48077"/>
  <c r="N23" i="48077"/>
  <c r="P23" i="48077"/>
  <c r="L19" i="48077"/>
  <c r="M19" i="48077" s="1"/>
  <c r="L22" i="48077"/>
  <c r="L20" i="48077"/>
  <c r="M20" i="48077" s="1"/>
  <c r="K23" i="48077"/>
  <c r="K24" i="48077" s="1"/>
  <c r="D22" i="48077"/>
  <c r="L18" i="48077"/>
  <c r="D18" i="48077" s="1"/>
  <c r="E18" i="48077" s="1"/>
  <c r="G51" i="48077"/>
  <c r="F51" i="48077" s="1"/>
  <c r="G19" i="48077"/>
  <c r="P62" i="48077"/>
  <c r="Q62" i="48077"/>
  <c r="O62" i="48077"/>
  <c r="L62" i="48077"/>
  <c r="K62" i="48077"/>
  <c r="M62" i="48077"/>
  <c r="AB61" i="48077"/>
  <c r="Y61" i="48077"/>
  <c r="V61" i="48077"/>
  <c r="S61" i="48077"/>
  <c r="R61" i="48077"/>
  <c r="Q61" i="48077"/>
  <c r="N61" i="48077"/>
  <c r="M61" i="48077"/>
  <c r="D61" i="48077"/>
  <c r="C61" i="48077"/>
  <c r="AB60" i="48077"/>
  <c r="Y60" i="48077"/>
  <c r="X60" i="48077"/>
  <c r="V60" i="48077"/>
  <c r="S60" i="48077"/>
  <c r="R60" i="48077"/>
  <c r="Q60" i="48077"/>
  <c r="N60" i="48077"/>
  <c r="M60" i="48077"/>
  <c r="D60" i="48077"/>
  <c r="C60" i="48077"/>
  <c r="AB59" i="48077"/>
  <c r="Y59" i="48077"/>
  <c r="AD59" i="48077"/>
  <c r="V59" i="48077"/>
  <c r="S59" i="48077"/>
  <c r="R59" i="48077"/>
  <c r="Q59" i="48077"/>
  <c r="N59" i="48077"/>
  <c r="M59" i="48077"/>
  <c r="D59" i="48077"/>
  <c r="E59" i="48077"/>
  <c r="C59" i="48077"/>
  <c r="H59" i="48077" s="1"/>
  <c r="AB58" i="48077"/>
  <c r="Y58" i="48077"/>
  <c r="V58" i="48077"/>
  <c r="S58" i="48077"/>
  <c r="R58" i="48077"/>
  <c r="Q58" i="48077"/>
  <c r="N58" i="48077"/>
  <c r="M58" i="48077"/>
  <c r="D58" i="48077"/>
  <c r="C58" i="48077"/>
  <c r="E58" i="48077" s="1"/>
  <c r="AB57" i="48077"/>
  <c r="Y57" i="48077"/>
  <c r="AD57" i="48077"/>
  <c r="V57" i="48077"/>
  <c r="S57" i="48077"/>
  <c r="R57" i="48077"/>
  <c r="Q57" i="48077"/>
  <c r="N57" i="48077"/>
  <c r="M57" i="48077"/>
  <c r="D57" i="48077"/>
  <c r="E57" i="48077"/>
  <c r="C57" i="48077"/>
  <c r="G57" i="48077" s="1"/>
  <c r="AB56" i="48077"/>
  <c r="Y56" i="48077"/>
  <c r="X56" i="48077"/>
  <c r="V56" i="48077"/>
  <c r="S56" i="48077"/>
  <c r="R56" i="48077"/>
  <c r="Q56" i="48077"/>
  <c r="N56" i="48077"/>
  <c r="M56" i="48077"/>
  <c r="D56" i="48077"/>
  <c r="E56" i="48077" s="1"/>
  <c r="C56" i="48077"/>
  <c r="G56" i="48077"/>
  <c r="AB55" i="48077"/>
  <c r="Y55" i="48077"/>
  <c r="AD55" i="48077" s="1"/>
  <c r="V55" i="48077"/>
  <c r="V62" i="48077"/>
  <c r="S55" i="48077"/>
  <c r="R55" i="48077"/>
  <c r="Q55" i="48077"/>
  <c r="N55" i="48077"/>
  <c r="M55" i="48077"/>
  <c r="D55" i="48077"/>
  <c r="C55" i="48077"/>
  <c r="AB54" i="48077"/>
  <c r="Y54" i="48077"/>
  <c r="V54" i="48077"/>
  <c r="S54" i="48077"/>
  <c r="R54" i="48077"/>
  <c r="Q54" i="48077"/>
  <c r="N54" i="48077"/>
  <c r="M54" i="48077"/>
  <c r="D54" i="48077"/>
  <c r="E54" i="48077" s="1"/>
  <c r="C54" i="48077"/>
  <c r="G54" i="48077" s="1"/>
  <c r="AB53" i="48077"/>
  <c r="Y53" i="48077"/>
  <c r="V53" i="48077"/>
  <c r="S53" i="48077"/>
  <c r="R53" i="48077"/>
  <c r="Q53" i="48077"/>
  <c r="N53" i="48077"/>
  <c r="M53" i="48077"/>
  <c r="D53" i="48077"/>
  <c r="C53" i="48077"/>
  <c r="G53" i="48077" s="1"/>
  <c r="AB52" i="48077"/>
  <c r="Y52" i="48077"/>
  <c r="X52" i="48077"/>
  <c r="V52" i="48077"/>
  <c r="S52" i="48077"/>
  <c r="R52" i="48077"/>
  <c r="Q52" i="48077"/>
  <c r="N52" i="48077"/>
  <c r="M52" i="48077"/>
  <c r="D52" i="48077"/>
  <c r="E52" i="48077"/>
  <c r="C52" i="48077"/>
  <c r="G52" i="48077" s="1"/>
  <c r="AB51" i="48077"/>
  <c r="AD51" i="48077"/>
  <c r="Y51" i="48077"/>
  <c r="V51" i="48077"/>
  <c r="S51" i="48077"/>
  <c r="R51" i="48077"/>
  <c r="Q51" i="48077"/>
  <c r="N51" i="48077"/>
  <c r="M51" i="48077"/>
  <c r="D51" i="48077"/>
  <c r="E51" i="48077" s="1"/>
  <c r="C51" i="48077"/>
  <c r="AB50" i="48077"/>
  <c r="Y50" i="48077"/>
  <c r="V50" i="48077"/>
  <c r="S50" i="48077"/>
  <c r="R50" i="48077"/>
  <c r="R62" i="48077" s="1"/>
  <c r="Q50" i="48077"/>
  <c r="N50" i="48077"/>
  <c r="M50" i="48077"/>
  <c r="D50" i="48077"/>
  <c r="E50" i="48077" s="1"/>
  <c r="C50" i="48077"/>
  <c r="G50" i="48077" s="1"/>
  <c r="AB49" i="48077"/>
  <c r="AB62" i="48077" s="1"/>
  <c r="Y49" i="48077"/>
  <c r="V49" i="48077"/>
  <c r="S49" i="48077"/>
  <c r="S62" i="48077" s="1"/>
  <c r="R49" i="48077"/>
  <c r="Q49" i="48077"/>
  <c r="N49" i="48077"/>
  <c r="M49" i="48077"/>
  <c r="D49" i="48077"/>
  <c r="C49" i="48077"/>
  <c r="O24" i="48077"/>
  <c r="N24" i="48077"/>
  <c r="J23" i="48077"/>
  <c r="C23" i="48077"/>
  <c r="G23" i="48077"/>
  <c r="P22" i="48077"/>
  <c r="M22" i="48077"/>
  <c r="J22" i="48077"/>
  <c r="C22" i="48077"/>
  <c r="G22" i="48077" s="1"/>
  <c r="P21" i="48077"/>
  <c r="M21" i="48077"/>
  <c r="J21" i="48077"/>
  <c r="D21" i="48077"/>
  <c r="C21" i="48077"/>
  <c r="P20" i="48077"/>
  <c r="J20" i="48077"/>
  <c r="C20" i="48077"/>
  <c r="G20" i="48077" s="1"/>
  <c r="P19" i="48077"/>
  <c r="J19" i="48077"/>
  <c r="D19" i="48077"/>
  <c r="F19" i="48077" s="1"/>
  <c r="C19" i="48077"/>
  <c r="P18" i="48077"/>
  <c r="J18" i="48077"/>
  <c r="C18" i="48077"/>
  <c r="G18" i="48077" s="1"/>
  <c r="P17" i="48077"/>
  <c r="M17" i="48077"/>
  <c r="J17" i="48077"/>
  <c r="D17" i="48077"/>
  <c r="C17" i="48077"/>
  <c r="Z61" i="48076"/>
  <c r="Z60" i="48076"/>
  <c r="Z59" i="48076"/>
  <c r="AA59" i="48076" s="1"/>
  <c r="Z58" i="48076"/>
  <c r="Z57" i="48076"/>
  <c r="Z56" i="48076"/>
  <c r="Z55" i="48076"/>
  <c r="Z54" i="48076"/>
  <c r="Z53" i="48076"/>
  <c r="Z52" i="48076"/>
  <c r="Z51" i="48076"/>
  <c r="AC51" i="48076" s="1"/>
  <c r="Z50" i="48076"/>
  <c r="Z49" i="48076"/>
  <c r="T61" i="48076"/>
  <c r="T60" i="48076"/>
  <c r="T59" i="48076"/>
  <c r="T58" i="48076"/>
  <c r="T57" i="48076"/>
  <c r="T56" i="48076"/>
  <c r="T55" i="48076"/>
  <c r="T54" i="48076"/>
  <c r="X54" i="48076" s="1"/>
  <c r="T53" i="48076"/>
  <c r="T52" i="48076"/>
  <c r="T51" i="48076"/>
  <c r="T50" i="48076"/>
  <c r="T49" i="48076"/>
  <c r="L23" i="48076"/>
  <c r="D23" i="48076" s="1"/>
  <c r="L22" i="48076"/>
  <c r="L20" i="48076"/>
  <c r="M20" i="48076" s="1"/>
  <c r="L19" i="48076"/>
  <c r="M19" i="48076"/>
  <c r="L18" i="48076"/>
  <c r="D18" i="48076" s="1"/>
  <c r="P62" i="48076"/>
  <c r="O62" i="48076"/>
  <c r="L62" i="48076"/>
  <c r="M62" i="48076" s="1"/>
  <c r="K62" i="48076"/>
  <c r="AB61" i="48076"/>
  <c r="Y61" i="48076"/>
  <c r="AD61" i="48076" s="1"/>
  <c r="V61" i="48076"/>
  <c r="W61" i="48076"/>
  <c r="S61" i="48076"/>
  <c r="R61" i="48076"/>
  <c r="Q61" i="48076"/>
  <c r="N61" i="48076"/>
  <c r="M61" i="48076"/>
  <c r="D61" i="48076"/>
  <c r="C61" i="48076"/>
  <c r="G61" i="48076" s="1"/>
  <c r="AB60" i="48076"/>
  <c r="Y60" i="48076"/>
  <c r="V60" i="48076"/>
  <c r="W60" i="48076" s="1"/>
  <c r="S60" i="48076"/>
  <c r="R60" i="48076"/>
  <c r="Q60" i="48076"/>
  <c r="N60" i="48076"/>
  <c r="M60" i="48076"/>
  <c r="D60" i="48076"/>
  <c r="C60" i="48076"/>
  <c r="AB59" i="48076"/>
  <c r="Y59" i="48076"/>
  <c r="V59" i="48076"/>
  <c r="S59" i="48076"/>
  <c r="R59" i="48076"/>
  <c r="Q59" i="48076"/>
  <c r="N59" i="48076"/>
  <c r="M59" i="48076"/>
  <c r="D59" i="48076"/>
  <c r="C59" i="48076"/>
  <c r="E59" i="48076" s="1"/>
  <c r="AB58" i="48076"/>
  <c r="Y58" i="48076"/>
  <c r="V58" i="48076"/>
  <c r="S58" i="48076"/>
  <c r="R58" i="48076"/>
  <c r="Q58" i="48076"/>
  <c r="N58" i="48076"/>
  <c r="M58" i="48076"/>
  <c r="D58" i="48076"/>
  <c r="C58" i="48076"/>
  <c r="AB57" i="48076"/>
  <c r="Y57" i="48076"/>
  <c r="V57" i="48076"/>
  <c r="S57" i="48076"/>
  <c r="R57" i="48076"/>
  <c r="Q57" i="48076"/>
  <c r="N57" i="48076"/>
  <c r="M57" i="48076"/>
  <c r="D57" i="48076"/>
  <c r="C57" i="48076"/>
  <c r="E57" i="48076" s="1"/>
  <c r="AB56" i="48076"/>
  <c r="Y56" i="48076"/>
  <c r="V56" i="48076"/>
  <c r="S56" i="48076"/>
  <c r="X56" i="48076" s="1"/>
  <c r="R56" i="48076"/>
  <c r="Q56" i="48076"/>
  <c r="N56" i="48076"/>
  <c r="M56" i="48076"/>
  <c r="D56" i="48076"/>
  <c r="C56" i="48076"/>
  <c r="AB55" i="48076"/>
  <c r="Y55" i="48076"/>
  <c r="V55" i="48076"/>
  <c r="S55" i="48076"/>
  <c r="R55" i="48076"/>
  <c r="Q55" i="48076"/>
  <c r="N55" i="48076"/>
  <c r="M55" i="48076"/>
  <c r="D55" i="48076"/>
  <c r="C55" i="48076"/>
  <c r="H55" i="48076" s="1"/>
  <c r="AB54" i="48076"/>
  <c r="Y54" i="48076"/>
  <c r="V54" i="48076"/>
  <c r="S54" i="48076"/>
  <c r="R54" i="48076"/>
  <c r="Q54" i="48076"/>
  <c r="N54" i="48076"/>
  <c r="M54" i="48076"/>
  <c r="D54" i="48076"/>
  <c r="E54" i="48076"/>
  <c r="C54" i="48076"/>
  <c r="G54" i="48076"/>
  <c r="H54" i="48076"/>
  <c r="AB53" i="48076"/>
  <c r="Y53" i="48076"/>
  <c r="V53" i="48076"/>
  <c r="S53" i="48076"/>
  <c r="U53" i="48076" s="1"/>
  <c r="X53" i="48076"/>
  <c r="R53" i="48076"/>
  <c r="Q53" i="48076"/>
  <c r="N53" i="48076"/>
  <c r="M53" i="48076"/>
  <c r="D53" i="48076"/>
  <c r="C53" i="48076"/>
  <c r="G53" i="48076"/>
  <c r="F53" i="48076" s="1"/>
  <c r="AB52" i="48076"/>
  <c r="Y52" i="48076"/>
  <c r="AA52" i="48076" s="1"/>
  <c r="V52" i="48076"/>
  <c r="S52" i="48076"/>
  <c r="R52" i="48076"/>
  <c r="Q52" i="48076"/>
  <c r="N52" i="48076"/>
  <c r="M52" i="48076"/>
  <c r="D52" i="48076"/>
  <c r="E52" i="48076" s="1"/>
  <c r="C52" i="48076"/>
  <c r="AB51" i="48076"/>
  <c r="Y51" i="48076"/>
  <c r="V51" i="48076"/>
  <c r="S51" i="48076"/>
  <c r="R51" i="48076"/>
  <c r="Q51" i="48076"/>
  <c r="N51" i="48076"/>
  <c r="M51" i="48076"/>
  <c r="D51" i="48076"/>
  <c r="H51" i="48076" s="1"/>
  <c r="E51" i="48076"/>
  <c r="C51" i="48076"/>
  <c r="AB50" i="48076"/>
  <c r="Y50" i="48076"/>
  <c r="AA50" i="48076" s="1"/>
  <c r="V50" i="48076"/>
  <c r="W50" i="48076" s="1"/>
  <c r="S50" i="48076"/>
  <c r="R50" i="48076"/>
  <c r="Q50" i="48076"/>
  <c r="N50" i="48076"/>
  <c r="M50" i="48076"/>
  <c r="D50" i="48076"/>
  <c r="C50" i="48076"/>
  <c r="AB49" i="48076"/>
  <c r="Y49" i="48076"/>
  <c r="V49" i="48076"/>
  <c r="S49" i="48076"/>
  <c r="R49" i="48076"/>
  <c r="R62" i="48076" s="1"/>
  <c r="Q49" i="48076"/>
  <c r="N49" i="48076"/>
  <c r="M49" i="48076"/>
  <c r="D49" i="48076"/>
  <c r="E49" i="48076" s="1"/>
  <c r="C49" i="48076"/>
  <c r="O24" i="48076"/>
  <c r="N24" i="48076"/>
  <c r="P24" i="48076" s="1"/>
  <c r="P23" i="48076"/>
  <c r="K23" i="48076"/>
  <c r="K24" i="48076"/>
  <c r="J23" i="48076"/>
  <c r="P22" i="48076"/>
  <c r="J22" i="48076"/>
  <c r="C22" i="48076"/>
  <c r="G22" i="48076"/>
  <c r="P21" i="48076"/>
  <c r="M21" i="48076"/>
  <c r="J21" i="48076"/>
  <c r="D21" i="48076"/>
  <c r="E21" i="48076" s="1"/>
  <c r="C21" i="48076"/>
  <c r="G21" i="48076"/>
  <c r="F21" i="48076"/>
  <c r="P20" i="48076"/>
  <c r="J20" i="48076"/>
  <c r="C20" i="48076"/>
  <c r="G20" i="48076"/>
  <c r="P19" i="48076"/>
  <c r="J19" i="48076"/>
  <c r="C19" i="48076"/>
  <c r="G19" i="48076" s="1"/>
  <c r="P18" i="48076"/>
  <c r="J18" i="48076"/>
  <c r="C18" i="48076"/>
  <c r="G18" i="48076" s="1"/>
  <c r="F18" i="48076" s="1"/>
  <c r="P17" i="48076"/>
  <c r="M17" i="48076"/>
  <c r="J17" i="48076"/>
  <c r="D17" i="48076"/>
  <c r="E17" i="48076" s="1"/>
  <c r="C17" i="48076"/>
  <c r="D61" i="48042"/>
  <c r="D60" i="48042"/>
  <c r="D59" i="48042"/>
  <c r="D58" i="48042"/>
  <c r="D57" i="48042"/>
  <c r="D56" i="48042"/>
  <c r="D55" i="48042"/>
  <c r="D54" i="48042"/>
  <c r="D53" i="48042"/>
  <c r="E53" i="48042" s="1"/>
  <c r="D52" i="48042"/>
  <c r="E52" i="48042"/>
  <c r="D51" i="48042"/>
  <c r="D50" i="48042"/>
  <c r="E50" i="48042" s="1"/>
  <c r="D49" i="48042"/>
  <c r="C61" i="48042"/>
  <c r="G61" i="48042" s="1"/>
  <c r="F61" i="48042" s="1"/>
  <c r="C60" i="48042"/>
  <c r="H60" i="48042"/>
  <c r="C59" i="48042"/>
  <c r="H59" i="48042" s="1"/>
  <c r="C58" i="48042"/>
  <c r="H58" i="48042"/>
  <c r="C57" i="48042"/>
  <c r="C56" i="48042"/>
  <c r="H56" i="48042" s="1"/>
  <c r="C55" i="48042"/>
  <c r="H55" i="48042" s="1"/>
  <c r="C54" i="48042"/>
  <c r="G54" i="48042" s="1"/>
  <c r="F54" i="48042" s="1"/>
  <c r="C53" i="48042"/>
  <c r="H53" i="48042" s="1"/>
  <c r="C52" i="48042"/>
  <c r="C51" i="48042"/>
  <c r="C50" i="48042"/>
  <c r="C49" i="48042"/>
  <c r="G49" i="48042"/>
  <c r="L62" i="48042"/>
  <c r="K62" i="48042"/>
  <c r="M61" i="48042"/>
  <c r="M60" i="48042"/>
  <c r="M59" i="48042"/>
  <c r="M58" i="48042"/>
  <c r="M57" i="48042"/>
  <c r="M56" i="48042"/>
  <c r="M55" i="48042"/>
  <c r="M54" i="48042"/>
  <c r="M53" i="48042"/>
  <c r="M52" i="48042"/>
  <c r="M51" i="48042"/>
  <c r="M50" i="48042"/>
  <c r="M49" i="48042"/>
  <c r="N61" i="48042"/>
  <c r="N60" i="48042"/>
  <c r="N59" i="48042"/>
  <c r="N58" i="48042"/>
  <c r="N57" i="48042"/>
  <c r="N56" i="48042"/>
  <c r="N55" i="48042"/>
  <c r="N54" i="48042"/>
  <c r="N53" i="48042"/>
  <c r="N52" i="48042"/>
  <c r="N51" i="48042"/>
  <c r="N50" i="48042"/>
  <c r="N62" i="48042"/>
  <c r="N49" i="48042"/>
  <c r="M21" i="48042"/>
  <c r="M17" i="48042"/>
  <c r="D21" i="48042"/>
  <c r="D17" i="48042"/>
  <c r="L23" i="48042"/>
  <c r="L18" i="48042"/>
  <c r="D18" i="48042" s="1"/>
  <c r="K23" i="48042"/>
  <c r="C23" i="48042"/>
  <c r="G23" i="48042" s="1"/>
  <c r="K24" i="48042"/>
  <c r="C22" i="48042"/>
  <c r="C21" i="48042"/>
  <c r="C20" i="48042"/>
  <c r="C19" i="48042"/>
  <c r="G19" i="48042"/>
  <c r="C18" i="48042"/>
  <c r="C17" i="48042"/>
  <c r="L22" i="48042"/>
  <c r="D22" i="48042" s="1"/>
  <c r="M22" i="48042"/>
  <c r="L20" i="48042"/>
  <c r="L19" i="48042"/>
  <c r="D19" i="48042" s="1"/>
  <c r="X62" i="48075"/>
  <c r="V62" i="48075"/>
  <c r="U62" i="48075"/>
  <c r="R62" i="48075"/>
  <c r="P62" i="48075"/>
  <c r="O62" i="48075"/>
  <c r="D62" i="48075"/>
  <c r="C62" i="48075"/>
  <c r="X61" i="48075"/>
  <c r="V61" i="48075"/>
  <c r="U61" i="48075"/>
  <c r="Z61" i="48075"/>
  <c r="R61" i="48075"/>
  <c r="P61" i="48075"/>
  <c r="O61" i="48075"/>
  <c r="T61" i="48075"/>
  <c r="D61" i="48075"/>
  <c r="L61" i="48075" s="1"/>
  <c r="C61" i="48075"/>
  <c r="K61" i="48075"/>
  <c r="X60" i="48075"/>
  <c r="V60" i="48075"/>
  <c r="Y60" i="48075"/>
  <c r="U60" i="48075"/>
  <c r="R60" i="48075"/>
  <c r="P60" i="48075"/>
  <c r="O60" i="48075"/>
  <c r="T60" i="48075" s="1"/>
  <c r="D60" i="48075"/>
  <c r="C60" i="48075"/>
  <c r="K60" i="48075"/>
  <c r="X59" i="48075"/>
  <c r="V59" i="48075"/>
  <c r="U59" i="48075"/>
  <c r="Z59" i="48075"/>
  <c r="R59" i="48075"/>
  <c r="P59" i="48075"/>
  <c r="S59" i="48075" s="1"/>
  <c r="O59" i="48075"/>
  <c r="Q59" i="48075" s="1"/>
  <c r="D59" i="48075"/>
  <c r="L59" i="48075" s="1"/>
  <c r="C59" i="48075"/>
  <c r="K59" i="48075" s="1"/>
  <c r="X58" i="48075"/>
  <c r="V58" i="48075"/>
  <c r="Z58" i="48075" s="1"/>
  <c r="U58" i="48075"/>
  <c r="R58" i="48075"/>
  <c r="S58" i="48075"/>
  <c r="P58" i="48075"/>
  <c r="O58" i="48075"/>
  <c r="D58" i="48075"/>
  <c r="F58" i="48075"/>
  <c r="C58" i="48075"/>
  <c r="X57" i="48075"/>
  <c r="V57" i="48075"/>
  <c r="Z57" i="48075"/>
  <c r="U57" i="48075"/>
  <c r="R57" i="48075"/>
  <c r="P57" i="48075"/>
  <c r="O57" i="48075"/>
  <c r="D57" i="48075"/>
  <c r="L57" i="48075" s="1"/>
  <c r="C57" i="48075"/>
  <c r="X56" i="48075"/>
  <c r="V56" i="48075"/>
  <c r="U56" i="48075"/>
  <c r="R56" i="48075"/>
  <c r="P56" i="48075"/>
  <c r="Q56" i="48075" s="1"/>
  <c r="O56" i="48075"/>
  <c r="D56" i="48075"/>
  <c r="L56" i="48075"/>
  <c r="C56" i="48075"/>
  <c r="K56" i="48075" s="1"/>
  <c r="X55" i="48075"/>
  <c r="V55" i="48075"/>
  <c r="Y55" i="48075" s="1"/>
  <c r="U55" i="48075"/>
  <c r="R55" i="48075"/>
  <c r="P55" i="48075"/>
  <c r="O55" i="48075"/>
  <c r="T55" i="48075" s="1"/>
  <c r="D55" i="48075"/>
  <c r="L55" i="48075"/>
  <c r="M55" i="48075" s="1"/>
  <c r="C55" i="48075"/>
  <c r="K55" i="48075"/>
  <c r="X54" i="48075"/>
  <c r="V54" i="48075"/>
  <c r="U54" i="48075"/>
  <c r="R54" i="48075"/>
  <c r="P54" i="48075"/>
  <c r="S54" i="48075" s="1"/>
  <c r="O54" i="48075"/>
  <c r="D54" i="48075"/>
  <c r="E54" i="48075" s="1"/>
  <c r="C54" i="48075"/>
  <c r="X53" i="48075"/>
  <c r="Y53" i="48075" s="1"/>
  <c r="V53" i="48075"/>
  <c r="U53" i="48075"/>
  <c r="R53" i="48075"/>
  <c r="P53" i="48075"/>
  <c r="O53" i="48075"/>
  <c r="D53" i="48075"/>
  <c r="L53" i="48075" s="1"/>
  <c r="C53" i="48075"/>
  <c r="X52" i="48075"/>
  <c r="V52" i="48075"/>
  <c r="W52" i="48075" s="1"/>
  <c r="U52" i="48075"/>
  <c r="R52" i="48075"/>
  <c r="P52" i="48075"/>
  <c r="O52" i="48075"/>
  <c r="T52" i="48075" s="1"/>
  <c r="D52" i="48075"/>
  <c r="C52" i="48075"/>
  <c r="X51" i="48075"/>
  <c r="V51" i="48075"/>
  <c r="Y51" i="48075" s="1"/>
  <c r="U51" i="48075"/>
  <c r="Z51" i="48075" s="1"/>
  <c r="R51" i="48075"/>
  <c r="P51" i="48075"/>
  <c r="T51" i="48075"/>
  <c r="O51" i="48075"/>
  <c r="D51" i="48075"/>
  <c r="C51" i="48075"/>
  <c r="K51" i="48075"/>
  <c r="N51" i="48075" s="1"/>
  <c r="X50" i="48075"/>
  <c r="V50" i="48075"/>
  <c r="V63" i="48075" s="1"/>
  <c r="U50" i="48075"/>
  <c r="U63" i="48075" s="1"/>
  <c r="R50" i="48075"/>
  <c r="P50" i="48075"/>
  <c r="O50" i="48075"/>
  <c r="D50" i="48075"/>
  <c r="H50" i="48075" s="1"/>
  <c r="C50" i="48075"/>
  <c r="K50" i="48075"/>
  <c r="J23" i="48075"/>
  <c r="J22" i="48075"/>
  <c r="J21" i="48075"/>
  <c r="J20" i="48075"/>
  <c r="J19" i="48075"/>
  <c r="J18" i="48075"/>
  <c r="J17" i="48075"/>
  <c r="E15" i="48073"/>
  <c r="D15" i="48073"/>
  <c r="C15" i="48073"/>
  <c r="E43" i="48072"/>
  <c r="D43" i="48072"/>
  <c r="E36" i="48072"/>
  <c r="D36" i="48072"/>
  <c r="E30" i="48072"/>
  <c r="D30" i="48072"/>
  <c r="D23" i="48075" s="1"/>
  <c r="L23" i="48075" s="1"/>
  <c r="E26" i="48072"/>
  <c r="D26" i="48072"/>
  <c r="D22" i="48075" s="1"/>
  <c r="L22" i="48075" s="1"/>
  <c r="E23" i="48072"/>
  <c r="D23" i="48072"/>
  <c r="D21" i="48075" s="1"/>
  <c r="L21" i="48075" s="1"/>
  <c r="E21" i="48072"/>
  <c r="D21" i="48072"/>
  <c r="D20" i="48075" s="1"/>
  <c r="E13" i="48072"/>
  <c r="D13" i="48072"/>
  <c r="D19" i="48075" s="1"/>
  <c r="L19" i="48075" s="1"/>
  <c r="E6" i="48072"/>
  <c r="D6" i="48072"/>
  <c r="D18" i="48075" s="1"/>
  <c r="L18" i="48075" s="1"/>
  <c r="E3" i="48072"/>
  <c r="D3" i="48072"/>
  <c r="V62" i="48068"/>
  <c r="W62" i="48068" s="1"/>
  <c r="V61" i="48068"/>
  <c r="V60" i="48068"/>
  <c r="V59" i="48068"/>
  <c r="V58" i="48068"/>
  <c r="V57" i="48068"/>
  <c r="V56" i="48068"/>
  <c r="V55" i="48068"/>
  <c r="Y55" i="48068" s="1"/>
  <c r="V54" i="48068"/>
  <c r="V53" i="48068"/>
  <c r="W53" i="48068" s="1"/>
  <c r="V52" i="48068"/>
  <c r="V51" i="48068"/>
  <c r="V50" i="48068"/>
  <c r="Y50" i="48068" s="1"/>
  <c r="P62" i="48068"/>
  <c r="P61" i="48068"/>
  <c r="P60" i="48068"/>
  <c r="P59" i="48068"/>
  <c r="P58" i="48068"/>
  <c r="Q58" i="48068" s="1"/>
  <c r="P57" i="48068"/>
  <c r="P56" i="48068"/>
  <c r="P55" i="48068"/>
  <c r="P54" i="48068"/>
  <c r="P53" i="48068"/>
  <c r="P52" i="48068"/>
  <c r="P51" i="48068"/>
  <c r="P50" i="48068"/>
  <c r="D62" i="48068"/>
  <c r="D61" i="48068"/>
  <c r="D60" i="48068"/>
  <c r="D59" i="48068"/>
  <c r="D58" i="48068"/>
  <c r="D57" i="48068"/>
  <c r="E57" i="48068" s="1"/>
  <c r="D56" i="48068"/>
  <c r="L56" i="48068" s="1"/>
  <c r="D55" i="48068"/>
  <c r="D54" i="48068"/>
  <c r="D53" i="48068"/>
  <c r="L53" i="48068" s="1"/>
  <c r="D52" i="48068"/>
  <c r="L52" i="48068"/>
  <c r="D51" i="48068"/>
  <c r="D50" i="48068"/>
  <c r="E15" i="48070"/>
  <c r="D15" i="48070"/>
  <c r="C15" i="48070"/>
  <c r="E43" i="48069"/>
  <c r="D43" i="48069"/>
  <c r="E36" i="48069"/>
  <c r="D36" i="48069"/>
  <c r="E30" i="48069"/>
  <c r="D30" i="48069"/>
  <c r="E26" i="48069"/>
  <c r="D26" i="48069"/>
  <c r="D22" i="48068" s="1"/>
  <c r="L22" i="48068" s="1"/>
  <c r="E23" i="48069"/>
  <c r="D23" i="48069"/>
  <c r="D21" i="48068" s="1"/>
  <c r="L21" i="48068" s="1"/>
  <c r="E21" i="48069"/>
  <c r="D21" i="48069"/>
  <c r="D20" i="48068" s="1"/>
  <c r="E13" i="48069"/>
  <c r="D13" i="48069"/>
  <c r="E6" i="48069"/>
  <c r="D6" i="48069"/>
  <c r="D18" i="48068"/>
  <c r="E3" i="48069"/>
  <c r="E44" i="48069" s="1"/>
  <c r="D3" i="48069"/>
  <c r="D44" i="48069" s="1"/>
  <c r="D17" i="48068"/>
  <c r="L17" i="48068"/>
  <c r="X62" i="48068"/>
  <c r="U62" i="48068"/>
  <c r="R62" i="48068"/>
  <c r="S62" i="48068" s="1"/>
  <c r="O62" i="48068"/>
  <c r="T62" i="48068"/>
  <c r="C62" i="48068"/>
  <c r="X61" i="48068"/>
  <c r="Y61" i="48068" s="1"/>
  <c r="U61" i="48068"/>
  <c r="Z61" i="48068" s="1"/>
  <c r="R61" i="48068"/>
  <c r="S61" i="48068" s="1"/>
  <c r="O61" i="48068"/>
  <c r="C61" i="48068"/>
  <c r="X60" i="48068"/>
  <c r="Y60" i="48068" s="1"/>
  <c r="U60" i="48068"/>
  <c r="R60" i="48068"/>
  <c r="S60" i="48068" s="1"/>
  <c r="O60" i="48068"/>
  <c r="C60" i="48068"/>
  <c r="X59" i="48068"/>
  <c r="U59" i="48068"/>
  <c r="R59" i="48068"/>
  <c r="S59" i="48068" s="1"/>
  <c r="O59" i="48068"/>
  <c r="C59" i="48068"/>
  <c r="X58" i="48068"/>
  <c r="U58" i="48068"/>
  <c r="W58" i="48068"/>
  <c r="R58" i="48068"/>
  <c r="O58" i="48068"/>
  <c r="T58" i="48068" s="1"/>
  <c r="L58" i="48068"/>
  <c r="C58" i="48068"/>
  <c r="K58" i="48068"/>
  <c r="N58" i="48068" s="1"/>
  <c r="X57" i="48068"/>
  <c r="Y57" i="48068" s="1"/>
  <c r="U57" i="48068"/>
  <c r="R57" i="48068"/>
  <c r="O57" i="48068"/>
  <c r="C57" i="48068"/>
  <c r="X56" i="48068"/>
  <c r="U56" i="48068"/>
  <c r="W56" i="48068" s="1"/>
  <c r="Z56" i="48068"/>
  <c r="R56" i="48068"/>
  <c r="S56" i="48068"/>
  <c r="O56" i="48068"/>
  <c r="Q56" i="48068"/>
  <c r="C56" i="48068"/>
  <c r="X55" i="48068"/>
  <c r="U55" i="48068"/>
  <c r="Z55" i="48068" s="1"/>
  <c r="W55" i="48068"/>
  <c r="R55" i="48068"/>
  <c r="S55" i="48068" s="1"/>
  <c r="O55" i="48068"/>
  <c r="Q55" i="48068" s="1"/>
  <c r="L55" i="48068"/>
  <c r="M55" i="48068" s="1"/>
  <c r="C55" i="48068"/>
  <c r="H55" i="48068" s="1"/>
  <c r="X54" i="48068"/>
  <c r="Y54" i="48068"/>
  <c r="U54" i="48068"/>
  <c r="Z54" i="48068"/>
  <c r="R54" i="48068"/>
  <c r="S54" i="48068"/>
  <c r="O54" i="48068"/>
  <c r="C54" i="48068"/>
  <c r="K54" i="48068" s="1"/>
  <c r="X53" i="48068"/>
  <c r="Y53" i="48068" s="1"/>
  <c r="U53" i="48068"/>
  <c r="Z53" i="48068" s="1"/>
  <c r="R53" i="48068"/>
  <c r="S53" i="48068" s="1"/>
  <c r="O53" i="48068"/>
  <c r="C53" i="48068"/>
  <c r="K53" i="48068" s="1"/>
  <c r="N53" i="48068" s="1"/>
  <c r="X52" i="48068"/>
  <c r="Y52" i="48068" s="1"/>
  <c r="U52" i="48068"/>
  <c r="Z52" i="48068" s="1"/>
  <c r="R52" i="48068"/>
  <c r="O52" i="48068"/>
  <c r="T52" i="48068"/>
  <c r="C52" i="48068"/>
  <c r="X51" i="48068"/>
  <c r="U51" i="48068"/>
  <c r="Z51" i="48068"/>
  <c r="R51" i="48068"/>
  <c r="O51" i="48068"/>
  <c r="L51" i="48068"/>
  <c r="C51" i="48068"/>
  <c r="X50" i="48068"/>
  <c r="X63" i="48068" s="1"/>
  <c r="U50" i="48068"/>
  <c r="R50" i="48068"/>
  <c r="O50" i="48068"/>
  <c r="C50" i="48068"/>
  <c r="H50" i="48068" s="1"/>
  <c r="J23" i="48068"/>
  <c r="J22" i="48068"/>
  <c r="J21" i="48068"/>
  <c r="J20" i="48068"/>
  <c r="J19" i="48068"/>
  <c r="J18" i="48068"/>
  <c r="J17" i="48068"/>
  <c r="V61" i="48065"/>
  <c r="V60" i="48065"/>
  <c r="V59" i="48065"/>
  <c r="W59" i="48065" s="1"/>
  <c r="V58" i="48065"/>
  <c r="V57" i="48065"/>
  <c r="V56" i="48065"/>
  <c r="V55" i="48065"/>
  <c r="V54" i="48065"/>
  <c r="V53" i="48065"/>
  <c r="V52" i="48065"/>
  <c r="V51" i="48065"/>
  <c r="W51" i="48065" s="1"/>
  <c r="V50" i="48065"/>
  <c r="V49" i="48065"/>
  <c r="P61" i="48065"/>
  <c r="P60" i="48065"/>
  <c r="P59" i="48065"/>
  <c r="P58" i="48065"/>
  <c r="P57" i="48065"/>
  <c r="P56" i="48065"/>
  <c r="P55" i="48065"/>
  <c r="P54" i="48065"/>
  <c r="P53" i="48065"/>
  <c r="P52" i="48065"/>
  <c r="Q52" i="48065" s="1"/>
  <c r="P51" i="48065"/>
  <c r="P50" i="48065"/>
  <c r="P49" i="48065"/>
  <c r="P62" i="48065" s="1"/>
  <c r="D61" i="48065"/>
  <c r="D60" i="48065"/>
  <c r="L60" i="48065"/>
  <c r="D59" i="48065"/>
  <c r="D58" i="48065"/>
  <c r="D57" i="48065"/>
  <c r="D56" i="48065"/>
  <c r="L56" i="48065" s="1"/>
  <c r="M56" i="48065" s="1"/>
  <c r="D55" i="48065"/>
  <c r="L55" i="48065" s="1"/>
  <c r="D54" i="48065"/>
  <c r="D53" i="48065"/>
  <c r="D52" i="48065"/>
  <c r="D51" i="48065"/>
  <c r="L51" i="48065" s="1"/>
  <c r="D50" i="48065"/>
  <c r="D49" i="48065"/>
  <c r="X61" i="48065"/>
  <c r="Y61" i="48065" s="1"/>
  <c r="U61" i="48065"/>
  <c r="Z61" i="48065"/>
  <c r="R61" i="48065"/>
  <c r="S61" i="48065" s="1"/>
  <c r="O61" i="48065"/>
  <c r="T61" i="48065" s="1"/>
  <c r="C61" i="48065"/>
  <c r="G61" i="48065"/>
  <c r="X60" i="48065"/>
  <c r="U60" i="48065"/>
  <c r="R60" i="48065"/>
  <c r="S60" i="48065" s="1"/>
  <c r="O60" i="48065"/>
  <c r="T60" i="48065" s="1"/>
  <c r="C60" i="48065"/>
  <c r="X59" i="48065"/>
  <c r="U59" i="48065"/>
  <c r="R59" i="48065"/>
  <c r="S59" i="48065"/>
  <c r="O59" i="48065"/>
  <c r="T59" i="48065" s="1"/>
  <c r="L59" i="48065"/>
  <c r="C59" i="48065"/>
  <c r="X58" i="48065"/>
  <c r="Y58" i="48065" s="1"/>
  <c r="U58" i="48065"/>
  <c r="R58" i="48065"/>
  <c r="S58" i="48065" s="1"/>
  <c r="O58" i="48065"/>
  <c r="T58" i="48065" s="1"/>
  <c r="C58" i="48065"/>
  <c r="X57" i="48065"/>
  <c r="U57" i="48065"/>
  <c r="Z57" i="48065" s="1"/>
  <c r="R57" i="48065"/>
  <c r="S57" i="48065" s="1"/>
  <c r="O57" i="48065"/>
  <c r="C57" i="48065"/>
  <c r="X56" i="48065"/>
  <c r="Y56" i="48065"/>
  <c r="U56" i="48065"/>
  <c r="R56" i="48065"/>
  <c r="O56" i="48065"/>
  <c r="Q56" i="48065" s="1"/>
  <c r="T56" i="48065"/>
  <c r="C56" i="48065"/>
  <c r="H56" i="48065" s="1"/>
  <c r="X55" i="48065"/>
  <c r="U55" i="48065"/>
  <c r="Z55" i="48065" s="1"/>
  <c r="R55" i="48065"/>
  <c r="S55" i="48065" s="1"/>
  <c r="O55" i="48065"/>
  <c r="T55" i="48065"/>
  <c r="C55" i="48065"/>
  <c r="X54" i="48065"/>
  <c r="Y54" i="48065"/>
  <c r="U54" i="48065"/>
  <c r="R54" i="48065"/>
  <c r="S54" i="48065" s="1"/>
  <c r="O54" i="48065"/>
  <c r="C54" i="48065"/>
  <c r="H54" i="48065" s="1"/>
  <c r="X53" i="48065"/>
  <c r="Y53" i="48065"/>
  <c r="U53" i="48065"/>
  <c r="Z53" i="48065"/>
  <c r="R53" i="48065"/>
  <c r="O53" i="48065"/>
  <c r="Q53" i="48065" s="1"/>
  <c r="C53" i="48065"/>
  <c r="X52" i="48065"/>
  <c r="Y52" i="48065" s="1"/>
  <c r="U52" i="48065"/>
  <c r="Z52" i="48065"/>
  <c r="R52" i="48065"/>
  <c r="S52" i="48065" s="1"/>
  <c r="O52" i="48065"/>
  <c r="C52" i="48065"/>
  <c r="H52" i="48065"/>
  <c r="X51" i="48065"/>
  <c r="U51" i="48065"/>
  <c r="R51" i="48065"/>
  <c r="O51" i="48065"/>
  <c r="C51" i="48065"/>
  <c r="X50" i="48065"/>
  <c r="Y50" i="48065"/>
  <c r="U50" i="48065"/>
  <c r="W50" i="48065" s="1"/>
  <c r="R50" i="48065"/>
  <c r="S50" i="48065"/>
  <c r="O50" i="48065"/>
  <c r="T50" i="48065" s="1"/>
  <c r="C50" i="48065"/>
  <c r="X49" i="48065"/>
  <c r="U49" i="48065"/>
  <c r="Z49" i="48065" s="1"/>
  <c r="R49" i="48065"/>
  <c r="O49" i="48065"/>
  <c r="C49" i="48065"/>
  <c r="G49" i="48065"/>
  <c r="F49" i="48065" s="1"/>
  <c r="J23" i="48065"/>
  <c r="J22" i="48065"/>
  <c r="J21" i="48065"/>
  <c r="J20" i="48065"/>
  <c r="J19" i="48065"/>
  <c r="J18" i="48065"/>
  <c r="J17" i="48065"/>
  <c r="E15" i="48064"/>
  <c r="D15" i="48064"/>
  <c r="C15" i="48064"/>
  <c r="E43" i="48063"/>
  <c r="D43" i="48063"/>
  <c r="E36" i="48063"/>
  <c r="D36" i="48063"/>
  <c r="E30" i="48063"/>
  <c r="D30" i="48063"/>
  <c r="E26" i="48063"/>
  <c r="D26" i="48063"/>
  <c r="D22" i="48065" s="1"/>
  <c r="L22" i="48065" s="1"/>
  <c r="E23" i="48063"/>
  <c r="D23" i="48063"/>
  <c r="D21" i="48065" s="1"/>
  <c r="E21" i="48063"/>
  <c r="D21" i="48063"/>
  <c r="D20" i="48065" s="1"/>
  <c r="L20" i="48065" s="1"/>
  <c r="E13" i="48063"/>
  <c r="D13" i="48063"/>
  <c r="D19" i="48065" s="1"/>
  <c r="L19" i="48065" s="1"/>
  <c r="E6" i="48063"/>
  <c r="D6" i="48063"/>
  <c r="D18" i="48065" s="1"/>
  <c r="L18" i="48065" s="1"/>
  <c r="E3" i="48063"/>
  <c r="E44" i="48063" s="1"/>
  <c r="D3" i="48063"/>
  <c r="D17" i="48065" s="1"/>
  <c r="Z51" i="48042"/>
  <c r="Z52" i="48042"/>
  <c r="Z53" i="48042"/>
  <c r="Z54" i="48042"/>
  <c r="Z55" i="48042"/>
  <c r="Z56" i="48042"/>
  <c r="Z57" i="48042"/>
  <c r="Z58" i="48042"/>
  <c r="Z59" i="48042"/>
  <c r="Z60" i="48042"/>
  <c r="AC60" i="48042" s="1"/>
  <c r="Z61" i="48042"/>
  <c r="AB51" i="48042"/>
  <c r="AC51" i="48042" s="1"/>
  <c r="AB52" i="48042"/>
  <c r="AB53" i="48042"/>
  <c r="AC53" i="48042" s="1"/>
  <c r="AB54" i="48042"/>
  <c r="AB55" i="48042"/>
  <c r="AC55" i="48042" s="1"/>
  <c r="AB56" i="48042"/>
  <c r="AB57" i="48042"/>
  <c r="AC57" i="48042" s="1"/>
  <c r="AB58" i="48042"/>
  <c r="AB59" i="48042"/>
  <c r="AB60" i="48042"/>
  <c r="AB61" i="48042"/>
  <c r="Y51" i="48042"/>
  <c r="Y52" i="48042"/>
  <c r="Y53" i="48042"/>
  <c r="AD53" i="48042" s="1"/>
  <c r="Y54" i="48042"/>
  <c r="Y55" i="48042"/>
  <c r="AD55" i="48042" s="1"/>
  <c r="Y56" i="48042"/>
  <c r="Y57" i="48042"/>
  <c r="AD57" i="48042"/>
  <c r="Y58" i="48042"/>
  <c r="AD58" i="48042" s="1"/>
  <c r="Y59" i="48042"/>
  <c r="Y60" i="48042"/>
  <c r="AA60" i="48042"/>
  <c r="Y61" i="48042"/>
  <c r="AA61" i="48042"/>
  <c r="V51" i="48042"/>
  <c r="V52" i="48042"/>
  <c r="V53" i="48042"/>
  <c r="V54" i="48042"/>
  <c r="V55" i="48042"/>
  <c r="V56" i="48042"/>
  <c r="V57" i="48042"/>
  <c r="V58" i="48042"/>
  <c r="V59" i="48042"/>
  <c r="V60" i="48042"/>
  <c r="V61" i="48042"/>
  <c r="T51" i="48042"/>
  <c r="T52" i="48042"/>
  <c r="T53" i="48042"/>
  <c r="W53" i="48042" s="1"/>
  <c r="T54" i="48042"/>
  <c r="T55" i="48042"/>
  <c r="T56" i="48042"/>
  <c r="W56" i="48042" s="1"/>
  <c r="T57" i="48042"/>
  <c r="W57" i="48042"/>
  <c r="T58" i="48042"/>
  <c r="W58" i="48042" s="1"/>
  <c r="T59" i="48042"/>
  <c r="W59" i="48042"/>
  <c r="T60" i="48042"/>
  <c r="T61" i="48042"/>
  <c r="S51" i="48042"/>
  <c r="S52" i="48042"/>
  <c r="S53" i="48042"/>
  <c r="U53" i="48042" s="1"/>
  <c r="S54" i="48042"/>
  <c r="X54" i="48042"/>
  <c r="S55" i="48042"/>
  <c r="S56" i="48042"/>
  <c r="U56" i="48042" s="1"/>
  <c r="S57" i="48042"/>
  <c r="S58" i="48042"/>
  <c r="X58" i="48042" s="1"/>
  <c r="S59" i="48042"/>
  <c r="S60" i="48042"/>
  <c r="X60" i="48042"/>
  <c r="S61" i="48042"/>
  <c r="R60" i="48042"/>
  <c r="R52" i="48042"/>
  <c r="Q57" i="48042"/>
  <c r="Q59" i="48042"/>
  <c r="G56" i="48042"/>
  <c r="F56" i="48042" s="1"/>
  <c r="G58" i="48042"/>
  <c r="S50" i="48042"/>
  <c r="E43" i="48058"/>
  <c r="E36" i="48058"/>
  <c r="C23" i="48068" s="1"/>
  <c r="E30" i="48058"/>
  <c r="D30" i="48058"/>
  <c r="E26" i="48058"/>
  <c r="C22" i="48075" s="1"/>
  <c r="E23" i="48058"/>
  <c r="E21" i="48058"/>
  <c r="G20" i="48042"/>
  <c r="E13" i="48058"/>
  <c r="E6" i="48058"/>
  <c r="E3" i="48058"/>
  <c r="C17" i="48065" s="1"/>
  <c r="Q15" i="48061"/>
  <c r="P15" i="48061"/>
  <c r="O15" i="48061"/>
  <c r="N15" i="48061"/>
  <c r="M15" i="48061"/>
  <c r="L15" i="48061"/>
  <c r="K15" i="48061"/>
  <c r="J15" i="48061"/>
  <c r="I15" i="48061"/>
  <c r="H15" i="48061"/>
  <c r="G15" i="48061"/>
  <c r="F15" i="48061"/>
  <c r="E15" i="48061"/>
  <c r="D15" i="48061"/>
  <c r="C15" i="48061"/>
  <c r="Q15" i="48062"/>
  <c r="P15" i="48062"/>
  <c r="O15" i="48062"/>
  <c r="N15" i="48062"/>
  <c r="M15" i="48062"/>
  <c r="L15" i="48062"/>
  <c r="K15" i="48062"/>
  <c r="J15" i="48062"/>
  <c r="I15" i="48062"/>
  <c r="H15" i="48062"/>
  <c r="G15" i="48062"/>
  <c r="F15" i="48062"/>
  <c r="E15" i="48062"/>
  <c r="D15" i="48062"/>
  <c r="C15" i="48062"/>
  <c r="E15" i="48059"/>
  <c r="D15" i="48059"/>
  <c r="C15" i="48059"/>
  <c r="D3" i="48058"/>
  <c r="D6" i="48058"/>
  <c r="D13" i="48058"/>
  <c r="D21" i="48058"/>
  <c r="D23" i="48058"/>
  <c r="D26" i="48058"/>
  <c r="D36" i="48058"/>
  <c r="D43" i="48058"/>
  <c r="Q3" i="48057"/>
  <c r="Q6" i="48057"/>
  <c r="Q13" i="48057"/>
  <c r="Q21" i="48057"/>
  <c r="Q23" i="48057"/>
  <c r="Q26" i="48057"/>
  <c r="Q44" i="48057" s="1"/>
  <c r="Q30" i="48057"/>
  <c r="Q36" i="48057"/>
  <c r="Q43" i="48057"/>
  <c r="P3" i="48057"/>
  <c r="P6" i="48057"/>
  <c r="P13" i="48057"/>
  <c r="P21" i="48057"/>
  <c r="P23" i="48057"/>
  <c r="P26" i="48057"/>
  <c r="P30" i="48057"/>
  <c r="P36" i="48057"/>
  <c r="P43" i="48057"/>
  <c r="O3" i="48057"/>
  <c r="O6" i="48057"/>
  <c r="O13" i="48057"/>
  <c r="O21" i="48057"/>
  <c r="O23" i="48057"/>
  <c r="O26" i="48057"/>
  <c r="O30" i="48057"/>
  <c r="O36" i="48057"/>
  <c r="O43" i="48057"/>
  <c r="N3" i="48057"/>
  <c r="N6" i="48057"/>
  <c r="N13" i="48057"/>
  <c r="N21" i="48057"/>
  <c r="N23" i="48057"/>
  <c r="N26" i="48057"/>
  <c r="N30" i="48057"/>
  <c r="N36" i="48057"/>
  <c r="N43" i="48057"/>
  <c r="N44" i="48057"/>
  <c r="M3" i="48057"/>
  <c r="M6" i="48057"/>
  <c r="M44" i="48057" s="1"/>
  <c r="M13" i="48057"/>
  <c r="M21" i="48057"/>
  <c r="M23" i="48057"/>
  <c r="M26" i="48057"/>
  <c r="M30" i="48057"/>
  <c r="M36" i="48057"/>
  <c r="M43" i="48057"/>
  <c r="L3" i="48057"/>
  <c r="L6" i="48057"/>
  <c r="L44" i="48057" s="1"/>
  <c r="L13" i="48057"/>
  <c r="L21" i="48057"/>
  <c r="L23" i="48057"/>
  <c r="L26" i="48057"/>
  <c r="L30" i="48057"/>
  <c r="L36" i="48057"/>
  <c r="L43" i="48057"/>
  <c r="K3" i="48057"/>
  <c r="K6" i="48057"/>
  <c r="K44" i="48057" s="1"/>
  <c r="K13" i="48057"/>
  <c r="K21" i="48057"/>
  <c r="K23" i="48057"/>
  <c r="K26" i="48057"/>
  <c r="K30" i="48057"/>
  <c r="K36" i="48057"/>
  <c r="K43" i="48057"/>
  <c r="J3" i="48057"/>
  <c r="J6" i="48057"/>
  <c r="J13" i="48057"/>
  <c r="J21" i="48057"/>
  <c r="J23" i="48057"/>
  <c r="J26" i="48057"/>
  <c r="J30" i="48057"/>
  <c r="J36" i="48057"/>
  <c r="J43" i="48057"/>
  <c r="I3" i="48057"/>
  <c r="I6" i="48057"/>
  <c r="I13" i="48057"/>
  <c r="I21" i="48057"/>
  <c r="I23" i="48057"/>
  <c r="I26" i="48057"/>
  <c r="I30" i="48057"/>
  <c r="I36" i="48057"/>
  <c r="I43" i="48057"/>
  <c r="H3" i="48057"/>
  <c r="H44" i="48057" s="1"/>
  <c r="H6" i="48057"/>
  <c r="H13" i="48057"/>
  <c r="H21" i="48057"/>
  <c r="H23" i="48057"/>
  <c r="H26" i="48057"/>
  <c r="H30" i="48057"/>
  <c r="H36" i="48057"/>
  <c r="H43" i="48057"/>
  <c r="G3" i="48057"/>
  <c r="G6" i="48057"/>
  <c r="G13" i="48057"/>
  <c r="G21" i="48057"/>
  <c r="G23" i="48057"/>
  <c r="G26" i="48057"/>
  <c r="G30" i="48057"/>
  <c r="G36" i="48057"/>
  <c r="G43" i="48057"/>
  <c r="F3" i="48057"/>
  <c r="O17" i="48075" s="1"/>
  <c r="F6" i="48057"/>
  <c r="R18" i="48042"/>
  <c r="F13" i="48057"/>
  <c r="F21" i="48057"/>
  <c r="O20" i="48065"/>
  <c r="F23" i="48057"/>
  <c r="F26" i="48057"/>
  <c r="W22" i="48079"/>
  <c r="Y22" i="48079"/>
  <c r="F30" i="48057"/>
  <c r="F36" i="48057"/>
  <c r="F43" i="48057"/>
  <c r="E3" i="48057"/>
  <c r="Q17" i="48078" s="1"/>
  <c r="E6" i="48057"/>
  <c r="E13" i="48057"/>
  <c r="Q19" i="48042" s="1"/>
  <c r="E21" i="48057"/>
  <c r="E23" i="48057"/>
  <c r="Q21" i="48076"/>
  <c r="E26" i="48057"/>
  <c r="N22" i="48075" s="1"/>
  <c r="E30" i="48057"/>
  <c r="E36" i="48057"/>
  <c r="Q23" i="48076" s="1"/>
  <c r="E43" i="48057"/>
  <c r="D3" i="48057"/>
  <c r="P17" i="48068" s="1"/>
  <c r="D6" i="48057"/>
  <c r="S18" i="48042" s="1"/>
  <c r="T18" i="48042" s="1"/>
  <c r="D13" i="48057"/>
  <c r="P19" i="48075"/>
  <c r="D21" i="48057"/>
  <c r="D23" i="48057"/>
  <c r="S21" i="48078" s="1"/>
  <c r="D26" i="48057"/>
  <c r="S22" i="48078" s="1"/>
  <c r="D30" i="48057"/>
  <c r="D36" i="48057"/>
  <c r="D43" i="48057"/>
  <c r="Q3" i="48060"/>
  <c r="Q6" i="48060"/>
  <c r="Q12" i="48060"/>
  <c r="Q20" i="48060"/>
  <c r="Q22" i="48060"/>
  <c r="Q25" i="48060"/>
  <c r="Q29" i="48060"/>
  <c r="Q35" i="48060"/>
  <c r="Q41" i="48060"/>
  <c r="P3" i="48060"/>
  <c r="P6" i="48060"/>
  <c r="P12" i="48060"/>
  <c r="P20" i="48060"/>
  <c r="P22" i="48060"/>
  <c r="P25" i="48060"/>
  <c r="P42" i="48060" s="1"/>
  <c r="P29" i="48060"/>
  <c r="P35" i="48060"/>
  <c r="P41" i="48060"/>
  <c r="O3" i="48060"/>
  <c r="O42" i="48060" s="1"/>
  <c r="O6" i="48060"/>
  <c r="O12" i="48060"/>
  <c r="O20" i="48060"/>
  <c r="O22" i="48060"/>
  <c r="O25" i="48060"/>
  <c r="O29" i="48060"/>
  <c r="O35" i="48060"/>
  <c r="O41" i="48060"/>
  <c r="N3" i="48060"/>
  <c r="N6" i="48060"/>
  <c r="N42" i="48060" s="1"/>
  <c r="N12" i="48060"/>
  <c r="N20" i="48060"/>
  <c r="N22" i="48060"/>
  <c r="N25" i="48060"/>
  <c r="N29" i="48060"/>
  <c r="N35" i="48060"/>
  <c r="N41" i="48060"/>
  <c r="M3" i="48060"/>
  <c r="M6" i="48060"/>
  <c r="M12" i="48060"/>
  <c r="M20" i="48060"/>
  <c r="M22" i="48060"/>
  <c r="M25" i="48060"/>
  <c r="M29" i="48060"/>
  <c r="M35" i="48060"/>
  <c r="M41" i="48060"/>
  <c r="L3" i="48060"/>
  <c r="L6" i="48060"/>
  <c r="L12" i="48060"/>
  <c r="L20" i="48060"/>
  <c r="L22" i="48060"/>
  <c r="L25" i="48060"/>
  <c r="L29" i="48060"/>
  <c r="L35" i="48060"/>
  <c r="L41" i="48060"/>
  <c r="K3" i="48060"/>
  <c r="K6" i="48060"/>
  <c r="K12" i="48060"/>
  <c r="K20" i="48060"/>
  <c r="K22" i="48060"/>
  <c r="K25" i="48060"/>
  <c r="K29" i="48060"/>
  <c r="K35" i="48060"/>
  <c r="K41" i="48060"/>
  <c r="J3" i="48060"/>
  <c r="J6" i="48060"/>
  <c r="J12" i="48060"/>
  <c r="J20" i="48060"/>
  <c r="J22" i="48060"/>
  <c r="J25" i="48060"/>
  <c r="J29" i="48060"/>
  <c r="J35" i="48060"/>
  <c r="J41" i="48060"/>
  <c r="I3" i="48060"/>
  <c r="I6" i="48060"/>
  <c r="I12" i="48060"/>
  <c r="I20" i="48060"/>
  <c r="I22" i="48060"/>
  <c r="I25" i="48060"/>
  <c r="I29" i="48060"/>
  <c r="I35" i="48060"/>
  <c r="I41" i="48060"/>
  <c r="H3" i="48060"/>
  <c r="H6" i="48060"/>
  <c r="H12" i="48060"/>
  <c r="H20" i="48060"/>
  <c r="H22" i="48060"/>
  <c r="H25" i="48060"/>
  <c r="H29" i="48060"/>
  <c r="H35" i="48060"/>
  <c r="H41" i="48060"/>
  <c r="G3" i="48060"/>
  <c r="G6" i="48060"/>
  <c r="G12" i="48060"/>
  <c r="G20" i="48060"/>
  <c r="G22" i="48060"/>
  <c r="G25" i="48060"/>
  <c r="G29" i="48060"/>
  <c r="G35" i="48060"/>
  <c r="G41" i="48060"/>
  <c r="F3" i="48060"/>
  <c r="F42" i="48060" s="1"/>
  <c r="F6" i="48060"/>
  <c r="S18" i="48075" s="1"/>
  <c r="F12" i="48060"/>
  <c r="S19" i="48068" s="1"/>
  <c r="F20" i="48060"/>
  <c r="V20" i="48077"/>
  <c r="X20" i="48077" s="1"/>
  <c r="F22" i="48060"/>
  <c r="F25" i="48060"/>
  <c r="V22" i="48042"/>
  <c r="X22" i="48042" s="1"/>
  <c r="F29" i="48060"/>
  <c r="F35" i="48060"/>
  <c r="F41" i="48060"/>
  <c r="E3" i="48060"/>
  <c r="U17" i="48076" s="1"/>
  <c r="E6" i="48060"/>
  <c r="U18" i="48077" s="1"/>
  <c r="E12" i="48060"/>
  <c r="E20" i="48060"/>
  <c r="U20" i="48077" s="1"/>
  <c r="E22" i="48060"/>
  <c r="U21" i="48077" s="1"/>
  <c r="U21" i="48078"/>
  <c r="E25" i="48060"/>
  <c r="E29" i="48060"/>
  <c r="E35" i="48060"/>
  <c r="E41" i="48060"/>
  <c r="R23" i="48075" s="1"/>
  <c r="D3" i="48060"/>
  <c r="W17" i="48078" s="1"/>
  <c r="D6" i="48060"/>
  <c r="D12" i="48060"/>
  <c r="W19" i="48078" s="1"/>
  <c r="D20" i="48060"/>
  <c r="W20" i="48077"/>
  <c r="D22" i="48060"/>
  <c r="W21" i="48078" s="1"/>
  <c r="D25" i="48060"/>
  <c r="T22" i="48068" s="1"/>
  <c r="D29" i="48060"/>
  <c r="T23" i="48068"/>
  <c r="D35" i="48060"/>
  <c r="D41" i="48060"/>
  <c r="Y49" i="48042"/>
  <c r="Z49" i="48042"/>
  <c r="AC49" i="48042" s="1"/>
  <c r="Y50" i="48042"/>
  <c r="Z50" i="48042"/>
  <c r="AA50" i="48042" s="1"/>
  <c r="AB49" i="48042"/>
  <c r="AB62" i="48042" s="1"/>
  <c r="AB50" i="48042"/>
  <c r="S49" i="48042"/>
  <c r="T49" i="48042"/>
  <c r="T50" i="48042"/>
  <c r="X50" i="48042" s="1"/>
  <c r="V49" i="48042"/>
  <c r="V50" i="48042"/>
  <c r="W50" i="48042" s="1"/>
  <c r="J18" i="48042"/>
  <c r="J19" i="48042"/>
  <c r="J20" i="48042"/>
  <c r="J21" i="48042"/>
  <c r="J22" i="48042"/>
  <c r="J23" i="48042"/>
  <c r="J17" i="48042"/>
  <c r="G50" i="48042"/>
  <c r="K49" i="48065"/>
  <c r="W49" i="48065"/>
  <c r="E51" i="48065"/>
  <c r="W52" i="48065"/>
  <c r="Q54" i="48065"/>
  <c r="E55" i="48065"/>
  <c r="Q58" i="48065"/>
  <c r="E59" i="48065"/>
  <c r="Q61" i="48065"/>
  <c r="W61" i="48065"/>
  <c r="P21" i="48042"/>
  <c r="E21" i="48042"/>
  <c r="P19" i="48042"/>
  <c r="P17" i="48042"/>
  <c r="E17" i="48042"/>
  <c r="G21" i="48042"/>
  <c r="F21" i="48042" s="1"/>
  <c r="H21" i="48042"/>
  <c r="G22" i="48042"/>
  <c r="P23" i="48042"/>
  <c r="R59" i="48042"/>
  <c r="AA53" i="48042"/>
  <c r="L50" i="48068"/>
  <c r="H54" i="48068"/>
  <c r="E56" i="48068"/>
  <c r="H57" i="48068"/>
  <c r="E58" i="48068"/>
  <c r="Q61" i="48068"/>
  <c r="Q62" i="48068"/>
  <c r="L50" i="48075"/>
  <c r="W51" i="48075"/>
  <c r="F54" i="48075"/>
  <c r="H54" i="48075"/>
  <c r="Q49" i="48042"/>
  <c r="Q54" i="48042"/>
  <c r="R54" i="48042"/>
  <c r="G57" i="48065"/>
  <c r="F57" i="48065" s="1"/>
  <c r="K57" i="48065"/>
  <c r="K61" i="48065"/>
  <c r="T50" i="48068"/>
  <c r="S51" i="48075"/>
  <c r="K55" i="48065"/>
  <c r="K56" i="48065"/>
  <c r="N56" i="48065" s="1"/>
  <c r="E49" i="48065"/>
  <c r="W57" i="48068"/>
  <c r="Z57" i="48068"/>
  <c r="Y56" i="48075"/>
  <c r="G50" i="48065"/>
  <c r="K50" i="48065"/>
  <c r="G54" i="48065"/>
  <c r="K54" i="48065"/>
  <c r="G58" i="48065"/>
  <c r="F58" i="48065"/>
  <c r="Q55" i="48065"/>
  <c r="Q59" i="48065"/>
  <c r="T51" i="48068"/>
  <c r="Q51" i="48068"/>
  <c r="L51" i="48075"/>
  <c r="E51" i="48075"/>
  <c r="Y52" i="48075"/>
  <c r="G56" i="48065"/>
  <c r="F56" i="48065" s="1"/>
  <c r="E57" i="48065"/>
  <c r="Z60" i="48075"/>
  <c r="Q60" i="48042"/>
  <c r="S56" i="48065"/>
  <c r="G57" i="48068"/>
  <c r="F57" i="48068" s="1"/>
  <c r="T61" i="48068"/>
  <c r="X61" i="48042"/>
  <c r="G53" i="48065"/>
  <c r="F53" i="48065" s="1"/>
  <c r="K53" i="48065"/>
  <c r="N53" i="48065" s="1"/>
  <c r="T59" i="48068"/>
  <c r="W60" i="48075"/>
  <c r="Q61" i="48075"/>
  <c r="R51" i="48042"/>
  <c r="G51" i="48042"/>
  <c r="F51" i="48042" s="1"/>
  <c r="K52" i="48065"/>
  <c r="H59" i="48065"/>
  <c r="P22" i="48042"/>
  <c r="P20" i="48042"/>
  <c r="G18" i="48042"/>
  <c r="N24" i="48042"/>
  <c r="H54" i="48042"/>
  <c r="E54" i="48042"/>
  <c r="AA59" i="48042"/>
  <c r="AA55" i="48042"/>
  <c r="AA51" i="48042"/>
  <c r="K61" i="48068"/>
  <c r="G61" i="48068"/>
  <c r="F61" i="48068" s="1"/>
  <c r="W52" i="48068"/>
  <c r="Y56" i="48068"/>
  <c r="Z54" i="48075"/>
  <c r="S55" i="48075"/>
  <c r="G53" i="48068"/>
  <c r="F53" i="48068"/>
  <c r="Q51" i="48075"/>
  <c r="H53" i="48065"/>
  <c r="R57" i="48042"/>
  <c r="Q52" i="48042"/>
  <c r="Y59" i="48065"/>
  <c r="G52" i="48065"/>
  <c r="F52" i="48065"/>
  <c r="Q57" i="48068"/>
  <c r="S60" i="48075"/>
  <c r="E58" i="48075"/>
  <c r="E52" i="48075"/>
  <c r="W50" i="48075"/>
  <c r="L52" i="48075"/>
  <c r="K54" i="48075"/>
  <c r="S56" i="48075"/>
  <c r="K58" i="48075"/>
  <c r="L60" i="48075"/>
  <c r="M60" i="48075"/>
  <c r="W51" i="48068"/>
  <c r="O24" i="48042"/>
  <c r="P24" i="48042" s="1"/>
  <c r="P18" i="48042"/>
  <c r="Q58" i="48042"/>
  <c r="R58" i="48042"/>
  <c r="Q56" i="48042"/>
  <c r="R56" i="48042"/>
  <c r="Q50" i="48042"/>
  <c r="R50" i="48042"/>
  <c r="P62" i="48042"/>
  <c r="Q51" i="48042"/>
  <c r="R53" i="48042"/>
  <c r="Q53" i="48042"/>
  <c r="R61" i="48042"/>
  <c r="Q61" i="48042"/>
  <c r="Q55" i="48042"/>
  <c r="R55" i="48042"/>
  <c r="O62" i="48042"/>
  <c r="Q62" i="48042" s="1"/>
  <c r="R49" i="48042"/>
  <c r="R62" i="48042" s="1"/>
  <c r="N60" i="48075"/>
  <c r="H52" i="48042"/>
  <c r="F49" i="48042"/>
  <c r="G55" i="48042"/>
  <c r="F55" i="48042" s="1"/>
  <c r="E55" i="48042"/>
  <c r="E59" i="48042"/>
  <c r="G52" i="48042"/>
  <c r="F52" i="48042" s="1"/>
  <c r="E61" i="48042"/>
  <c r="H49" i="48042"/>
  <c r="E49" i="48042"/>
  <c r="M62" i="48042"/>
  <c r="Z50" i="48068"/>
  <c r="Q55" i="48075"/>
  <c r="G60" i="48065"/>
  <c r="F60" i="48065" s="1"/>
  <c r="K60" i="48065"/>
  <c r="N60" i="48065"/>
  <c r="K60" i="48068"/>
  <c r="G60" i="48068"/>
  <c r="F60" i="48068" s="1"/>
  <c r="E60" i="48068"/>
  <c r="L60" i="48068"/>
  <c r="M60" i="48068" s="1"/>
  <c r="T50" i="48075"/>
  <c r="Q50" i="48075"/>
  <c r="S50" i="48075"/>
  <c r="F52" i="48075"/>
  <c r="K52" i="48075"/>
  <c r="W55" i="48075"/>
  <c r="Z55" i="48075"/>
  <c r="H60" i="48075"/>
  <c r="F60" i="48075"/>
  <c r="E60" i="48075"/>
  <c r="X52" i="48042"/>
  <c r="U54" i="48042"/>
  <c r="W54" i="48042"/>
  <c r="AC54" i="48042"/>
  <c r="AA54" i="48042"/>
  <c r="L49" i="48065"/>
  <c r="H49" i="48065"/>
  <c r="L53" i="48065"/>
  <c r="E53" i="48065"/>
  <c r="H57" i="48065"/>
  <c r="L57" i="48065"/>
  <c r="S51" i="48065"/>
  <c r="Q51" i="48065"/>
  <c r="Y57" i="48065"/>
  <c r="W57" i="48065"/>
  <c r="E51" i="48068"/>
  <c r="K51" i="48068"/>
  <c r="G51" i="48068"/>
  <c r="F51" i="48068"/>
  <c r="G59" i="48068"/>
  <c r="F59" i="48068" s="1"/>
  <c r="K59" i="48068"/>
  <c r="K62" i="48068"/>
  <c r="G62" i="48068"/>
  <c r="F62" i="48068" s="1"/>
  <c r="Q59" i="48068"/>
  <c r="W60" i="48068"/>
  <c r="E61" i="48075"/>
  <c r="R62" i="48065"/>
  <c r="Q60" i="48065"/>
  <c r="Z52" i="48075"/>
  <c r="F61" i="48075"/>
  <c r="H60" i="48068"/>
  <c r="AC50" i="48042"/>
  <c r="W49" i="48042"/>
  <c r="AC56" i="48042"/>
  <c r="Z60" i="48065"/>
  <c r="Z60" i="48068"/>
  <c r="T53" i="48075"/>
  <c r="N55" i="48075"/>
  <c r="Y57" i="48075"/>
  <c r="T58" i="48075"/>
  <c r="Y51" i="48068"/>
  <c r="Y62" i="48042"/>
  <c r="AD50" i="48042"/>
  <c r="E55" i="48068"/>
  <c r="G55" i="48068"/>
  <c r="F55" i="48068" s="1"/>
  <c r="K55" i="48068"/>
  <c r="U50" i="48042"/>
  <c r="W61" i="48042"/>
  <c r="U61" i="48042"/>
  <c r="AD59" i="48042"/>
  <c r="AC59" i="48042"/>
  <c r="AD51" i="48042"/>
  <c r="G59" i="48065"/>
  <c r="F59" i="48065" s="1"/>
  <c r="K59" i="48065"/>
  <c r="N59" i="48065" s="1"/>
  <c r="W60" i="48065"/>
  <c r="Y60" i="48065"/>
  <c r="T56" i="48068"/>
  <c r="W53" i="48075"/>
  <c r="Z53" i="48075"/>
  <c r="H58" i="48075"/>
  <c r="L58" i="48075"/>
  <c r="M58" i="48075" s="1"/>
  <c r="W61" i="48075"/>
  <c r="Y61" i="48075"/>
  <c r="AD60" i="48042"/>
  <c r="U58" i="48042"/>
  <c r="T57" i="48065"/>
  <c r="C63" i="48075"/>
  <c r="Q58" i="48075"/>
  <c r="Q57" i="48065"/>
  <c r="Q50" i="48065"/>
  <c r="AD56" i="48042"/>
  <c r="Q52" i="48068"/>
  <c r="V62" i="48076"/>
  <c r="W54" i="48076"/>
  <c r="W58" i="48076"/>
  <c r="AA53" i="48076"/>
  <c r="AC61" i="48076"/>
  <c r="H53" i="48068"/>
  <c r="E55" i="48075"/>
  <c r="F57" i="48075"/>
  <c r="O63" i="48075"/>
  <c r="G50" i="48068"/>
  <c r="F50" i="48068"/>
  <c r="G55" i="48065"/>
  <c r="F55" i="48065" s="1"/>
  <c r="E53" i="48068"/>
  <c r="H55" i="48075"/>
  <c r="K50" i="48068"/>
  <c r="H55" i="48065"/>
  <c r="E62" i="48075"/>
  <c r="W57" i="48075"/>
  <c r="F55" i="48075"/>
  <c r="E50" i="48075"/>
  <c r="W54" i="48068"/>
  <c r="E50" i="48068"/>
  <c r="AA57" i="48042"/>
  <c r="E60" i="48065"/>
  <c r="E56" i="48065"/>
  <c r="E52" i="48065"/>
  <c r="L52" i="48065"/>
  <c r="M52" i="48065" s="1"/>
  <c r="K57" i="48068"/>
  <c r="S58" i="48068"/>
  <c r="S52" i="48068"/>
  <c r="Y59" i="48075"/>
  <c r="S61" i="48075"/>
  <c r="K62" i="48075"/>
  <c r="U54" i="48076"/>
  <c r="AC57" i="48076"/>
  <c r="U57" i="48076"/>
  <c r="U61" i="48076"/>
  <c r="AA56" i="48076"/>
  <c r="F50" i="48075"/>
  <c r="Z50" i="48065"/>
  <c r="K58" i="48065"/>
  <c r="AC53" i="48076"/>
  <c r="W52" i="48076"/>
  <c r="U60" i="48076"/>
  <c r="AA55" i="48076"/>
  <c r="X60" i="48076"/>
  <c r="U50" i="48076"/>
  <c r="X50" i="48076"/>
  <c r="E55" i="48076"/>
  <c r="F54" i="48076"/>
  <c r="E53" i="48076"/>
  <c r="F61" i="48076"/>
  <c r="M23" i="48076"/>
  <c r="D22" i="48076"/>
  <c r="E22" i="48076" s="1"/>
  <c r="H22" i="48076"/>
  <c r="D20" i="48076"/>
  <c r="E20" i="48076" s="1"/>
  <c r="M18" i="48076"/>
  <c r="X49" i="48076"/>
  <c r="X59" i="48076"/>
  <c r="AD60" i="48076"/>
  <c r="W49" i="48076"/>
  <c r="AC50" i="48076"/>
  <c r="W51" i="48076"/>
  <c r="AC52" i="48076"/>
  <c r="W53" i="48076"/>
  <c r="AC54" i="48076"/>
  <c r="W55" i="48076"/>
  <c r="AC56" i="48076"/>
  <c r="W57" i="48076"/>
  <c r="AC58" i="48076"/>
  <c r="AC60" i="48076"/>
  <c r="X61" i="48076"/>
  <c r="D19" i="48076"/>
  <c r="F19" i="48076" s="1"/>
  <c r="H21" i="48076"/>
  <c r="X52" i="48076"/>
  <c r="AD53" i="48076"/>
  <c r="AD55" i="48076"/>
  <c r="AD57" i="48076"/>
  <c r="AD59" i="48076"/>
  <c r="C62" i="48076"/>
  <c r="G62" i="48076" s="1"/>
  <c r="H18" i="48076"/>
  <c r="AD50" i="48076"/>
  <c r="X51" i="48076"/>
  <c r="AD52" i="48076"/>
  <c r="AD54" i="48076"/>
  <c r="AD56" i="48076"/>
  <c r="X57" i="48076"/>
  <c r="AD58" i="48076"/>
  <c r="H17" i="48076"/>
  <c r="M59" i="48065"/>
  <c r="N58" i="48075"/>
  <c r="M49" i="48065"/>
  <c r="N49" i="48065"/>
  <c r="F54" i="48077"/>
  <c r="F50" i="48077"/>
  <c r="H50" i="48077"/>
  <c r="P24" i="48077"/>
  <c r="F56" i="48077"/>
  <c r="F22" i="48077"/>
  <c r="E22" i="48077"/>
  <c r="F18" i="48077"/>
  <c r="E49" i="48077"/>
  <c r="D62" i="48077"/>
  <c r="W49" i="48077"/>
  <c r="U49" i="48077"/>
  <c r="Z62" i="48077"/>
  <c r="U50" i="48077"/>
  <c r="W50" i="48077"/>
  <c r="AC50" i="48077"/>
  <c r="AD50" i="48077"/>
  <c r="H51" i="48077"/>
  <c r="U52" i="48077"/>
  <c r="W52" i="48077"/>
  <c r="AC52" i="48077"/>
  <c r="H53" i="48077"/>
  <c r="AC54" i="48077"/>
  <c r="H55" i="48077"/>
  <c r="U56" i="48077"/>
  <c r="W56" i="48077"/>
  <c r="AC56" i="48077"/>
  <c r="H57" i="48077"/>
  <c r="AC58" i="48077"/>
  <c r="U60" i="48077"/>
  <c r="W60" i="48077"/>
  <c r="AC60" i="48077"/>
  <c r="D20" i="48077"/>
  <c r="H20" i="48077"/>
  <c r="AA51" i="48077"/>
  <c r="AC51" i="48077"/>
  <c r="AA55" i="48077"/>
  <c r="AC55" i="48077"/>
  <c r="AC57" i="48077"/>
  <c r="AA59" i="48077"/>
  <c r="AC59" i="48077"/>
  <c r="AC61" i="48077"/>
  <c r="W51" i="48077"/>
  <c r="F53" i="48077"/>
  <c r="W53" i="48077"/>
  <c r="W55" i="48077"/>
  <c r="F57" i="48077"/>
  <c r="W57" i="48077"/>
  <c r="W59" i="48077"/>
  <c r="W61" i="48077"/>
  <c r="X51" i="48077"/>
  <c r="H52" i="48077"/>
  <c r="AD52" i="48077"/>
  <c r="X53" i="48077"/>
  <c r="H54" i="48077"/>
  <c r="AD54" i="48077"/>
  <c r="X55" i="48077"/>
  <c r="H56" i="48077"/>
  <c r="AD56" i="48077"/>
  <c r="X57" i="48077"/>
  <c r="AD58" i="48077"/>
  <c r="X59" i="48077"/>
  <c r="AD60" i="48077"/>
  <c r="X61" i="48077"/>
  <c r="U51" i="48077"/>
  <c r="AA52" i="48077"/>
  <c r="U53" i="48077"/>
  <c r="AA54" i="48077"/>
  <c r="U55" i="48077"/>
  <c r="AA56" i="48077"/>
  <c r="U57" i="48077"/>
  <c r="AA58" i="48077"/>
  <c r="U59" i="48077"/>
  <c r="AA60" i="48077"/>
  <c r="U61" i="48077"/>
  <c r="S23" i="48042"/>
  <c r="C19" i="48075"/>
  <c r="K19" i="48075" s="1"/>
  <c r="C19" i="48068"/>
  <c r="G19" i="48068" s="1"/>
  <c r="C19" i="48065"/>
  <c r="X59" i="48042"/>
  <c r="K52" i="48068"/>
  <c r="M52" i="48068" s="1"/>
  <c r="G52" i="48068"/>
  <c r="F52" i="48068" s="1"/>
  <c r="E52" i="48068"/>
  <c r="H52" i="48068"/>
  <c r="X49" i="48042"/>
  <c r="F59" i="48075"/>
  <c r="U59" i="48042"/>
  <c r="C63" i="48068"/>
  <c r="G63" i="48068" s="1"/>
  <c r="E59" i="48075"/>
  <c r="D42" i="48060"/>
  <c r="T22" i="48075"/>
  <c r="W22" i="48076"/>
  <c r="T22" i="48065"/>
  <c r="W22" i="48042"/>
  <c r="R23" i="48068"/>
  <c r="R23" i="48065"/>
  <c r="U19" i="48076"/>
  <c r="R19" i="48068"/>
  <c r="R19" i="48075"/>
  <c r="U19" i="48042"/>
  <c r="R19" i="48065"/>
  <c r="S21" i="48068"/>
  <c r="S21" i="48065"/>
  <c r="U21" i="48065" s="1"/>
  <c r="V21" i="48076"/>
  <c r="V21" i="48042"/>
  <c r="X21" i="48042" s="1"/>
  <c r="Q23" i="48042"/>
  <c r="R23" i="48042"/>
  <c r="V62" i="48065"/>
  <c r="L61" i="48068"/>
  <c r="E61" i="48068"/>
  <c r="N52" i="48065"/>
  <c r="D63" i="48075"/>
  <c r="F63" i="48075" s="1"/>
  <c r="W50" i="48068"/>
  <c r="L54" i="48068"/>
  <c r="M54" i="48068" s="1"/>
  <c r="Q60" i="48068"/>
  <c r="T21" i="48075"/>
  <c r="W21" i="48076"/>
  <c r="T21" i="48065"/>
  <c r="T21" i="48068"/>
  <c r="W21" i="48042"/>
  <c r="W19" i="48076"/>
  <c r="T19" i="48068"/>
  <c r="T19" i="48075"/>
  <c r="T19" i="48065"/>
  <c r="W19" i="48042"/>
  <c r="E42" i="48060"/>
  <c r="U22" i="48076"/>
  <c r="R22" i="48075"/>
  <c r="R22" i="48068"/>
  <c r="R22" i="48065"/>
  <c r="U22" i="48042"/>
  <c r="U18" i="48076"/>
  <c r="R18" i="48075"/>
  <c r="R18" i="48068"/>
  <c r="U18" i="48042"/>
  <c r="G42" i="48060"/>
  <c r="L42" i="48060"/>
  <c r="N17" i="48075"/>
  <c r="N17" i="48068"/>
  <c r="Q17" i="48076"/>
  <c r="Q17" i="48042"/>
  <c r="P44" i="48057"/>
  <c r="C20" i="48075"/>
  <c r="C23" i="48075"/>
  <c r="C23" i="48065"/>
  <c r="G23" i="48065" s="1"/>
  <c r="F58" i="48042"/>
  <c r="W51" i="48042"/>
  <c r="U51" i="48042"/>
  <c r="AD61" i="48042"/>
  <c r="AA52" i="48042"/>
  <c r="AD52" i="48042"/>
  <c r="N17" i="48065"/>
  <c r="L58" i="48065"/>
  <c r="N58" i="48065" s="1"/>
  <c r="E58" i="48065"/>
  <c r="K56" i="48068"/>
  <c r="G56" i="48068"/>
  <c r="F56" i="48068"/>
  <c r="H56" i="48068"/>
  <c r="H57" i="48042"/>
  <c r="G57" i="48042"/>
  <c r="F57" i="48042"/>
  <c r="E57" i="48042"/>
  <c r="E60" i="48042"/>
  <c r="G60" i="48042"/>
  <c r="F60" i="48042"/>
  <c r="T23" i="48075"/>
  <c r="T23" i="48065"/>
  <c r="W23" i="48042"/>
  <c r="U20" i="48042"/>
  <c r="S19" i="48075"/>
  <c r="U19" i="48075" s="1"/>
  <c r="V19" i="48042"/>
  <c r="X19" i="48042" s="1"/>
  <c r="F22" i="48076"/>
  <c r="AA51" i="48076"/>
  <c r="X55" i="48076"/>
  <c r="Z62" i="48076"/>
  <c r="D63" i="48068"/>
  <c r="U49" i="48042"/>
  <c r="F51" i="48075"/>
  <c r="E58" i="48042"/>
  <c r="AD49" i="48042"/>
  <c r="AA49" i="48042"/>
  <c r="W18" i="48076"/>
  <c r="T18" i="48075"/>
  <c r="T18" i="48065"/>
  <c r="T18" i="48068"/>
  <c r="W18" i="48042"/>
  <c r="U21" i="48076"/>
  <c r="R21" i="48075"/>
  <c r="R21" i="48068"/>
  <c r="R21" i="48065"/>
  <c r="U21" i="48042"/>
  <c r="S20" i="48075"/>
  <c r="U20" i="48075" s="1"/>
  <c r="S17" i="48068"/>
  <c r="U17" i="48068"/>
  <c r="V17" i="48042"/>
  <c r="K42" i="48060"/>
  <c r="Q19" i="48076"/>
  <c r="N19" i="48068"/>
  <c r="N19" i="48065"/>
  <c r="R19" i="48076"/>
  <c r="O19" i="48075"/>
  <c r="Q19" i="48075"/>
  <c r="O19" i="48065"/>
  <c r="R19" i="48042"/>
  <c r="G44" i="48057"/>
  <c r="Z51" i="48065"/>
  <c r="R20" i="48068"/>
  <c r="L18" i="48068"/>
  <c r="L20" i="48068"/>
  <c r="Y58" i="48068"/>
  <c r="Z62" i="48068"/>
  <c r="N19" i="48075"/>
  <c r="W23" i="48076"/>
  <c r="H56" i="48076"/>
  <c r="G56" i="48076"/>
  <c r="F56" i="48076"/>
  <c r="H58" i="48076"/>
  <c r="G58" i="48076"/>
  <c r="F58" i="48076" s="1"/>
  <c r="R17" i="48076"/>
  <c r="M51" i="48075"/>
  <c r="R17" i="48068"/>
  <c r="R24" i="48068" s="1"/>
  <c r="V22" i="48076"/>
  <c r="X22" i="48076" s="1"/>
  <c r="M42" i="48060"/>
  <c r="O17" i="48068"/>
  <c r="Q17" i="48068" s="1"/>
  <c r="F44" i="48057"/>
  <c r="I44" i="48057"/>
  <c r="C18" i="48068"/>
  <c r="G18" i="48068" s="1"/>
  <c r="F18" i="48068" s="1"/>
  <c r="C18" i="48075"/>
  <c r="H18" i="48075" s="1"/>
  <c r="C21" i="48075"/>
  <c r="C21" i="48068"/>
  <c r="E21" i="48068"/>
  <c r="C21" i="48065"/>
  <c r="K21" i="48065"/>
  <c r="AD54" i="48042"/>
  <c r="C18" i="48065"/>
  <c r="H18" i="48065" s="1"/>
  <c r="R63" i="48068"/>
  <c r="T60" i="48068"/>
  <c r="D23" i="48042"/>
  <c r="M23" i="48042"/>
  <c r="W20" i="48076"/>
  <c r="T20" i="48075"/>
  <c r="T20" i="48068"/>
  <c r="W17" i="48076"/>
  <c r="W24" i="48076"/>
  <c r="T17" i="48075"/>
  <c r="T24" i="48075"/>
  <c r="T17" i="48068"/>
  <c r="T24" i="48068"/>
  <c r="T17" i="48065"/>
  <c r="V23" i="48076"/>
  <c r="X23" i="48076" s="1"/>
  <c r="S23" i="48068"/>
  <c r="U23" i="48068" s="1"/>
  <c r="S23" i="48075"/>
  <c r="U23" i="48075" s="1"/>
  <c r="I42" i="48060"/>
  <c r="Q42" i="48060"/>
  <c r="S20" i="48076"/>
  <c r="P20" i="48068"/>
  <c r="P20" i="48075"/>
  <c r="S20" i="48042"/>
  <c r="P20" i="48065"/>
  <c r="Q20" i="48065" s="1"/>
  <c r="S18" i="48076"/>
  <c r="P18" i="48068"/>
  <c r="N21" i="48075"/>
  <c r="N21" i="48068"/>
  <c r="N21" i="48065"/>
  <c r="Q21" i="48042"/>
  <c r="X51" i="48042"/>
  <c r="P18" i="48065"/>
  <c r="T20" i="48065"/>
  <c r="T24" i="48065"/>
  <c r="S23" i="48065"/>
  <c r="U23" i="48065" s="1"/>
  <c r="P18" i="48075"/>
  <c r="D62" i="48042"/>
  <c r="S21" i="48076"/>
  <c r="P21" i="48075"/>
  <c r="P19" i="48068"/>
  <c r="Q22" i="48076"/>
  <c r="N20" i="48075"/>
  <c r="Q20" i="48076"/>
  <c r="N20" i="48068"/>
  <c r="Q18" i="48076"/>
  <c r="Q24" i="48076" s="1"/>
  <c r="N18" i="48075"/>
  <c r="O23" i="48075"/>
  <c r="R21" i="48042"/>
  <c r="E44" i="48058"/>
  <c r="N18" i="48065"/>
  <c r="T51" i="48065"/>
  <c r="T54" i="48065"/>
  <c r="H58" i="48065"/>
  <c r="N18" i="48068"/>
  <c r="E44" i="48072"/>
  <c r="R63" i="48075"/>
  <c r="R23" i="48076"/>
  <c r="AA57" i="48076"/>
  <c r="V20" i="48076"/>
  <c r="X20" i="48076"/>
  <c r="S20" i="48065"/>
  <c r="V18" i="48076"/>
  <c r="X18" i="48076" s="1"/>
  <c r="S18" i="48065"/>
  <c r="U18" i="48065"/>
  <c r="S18" i="48068"/>
  <c r="P22" i="48068"/>
  <c r="P22" i="48075"/>
  <c r="S17" i="48076"/>
  <c r="T17" i="48076" s="1"/>
  <c r="P17" i="48075"/>
  <c r="R18" i="48076"/>
  <c r="T18" i="48076" s="1"/>
  <c r="O18" i="48065"/>
  <c r="Q18" i="48065" s="1"/>
  <c r="C17" i="48075"/>
  <c r="C24" i="48075" s="1"/>
  <c r="E24" i="48075" s="1"/>
  <c r="C17" i="48068"/>
  <c r="K17" i="48068" s="1"/>
  <c r="M17" i="48068" s="1"/>
  <c r="D23" i="48065"/>
  <c r="F23" i="48065" s="1"/>
  <c r="P17" i="48065"/>
  <c r="N22" i="48065"/>
  <c r="S53" i="48065"/>
  <c r="W53" i="48065"/>
  <c r="Z58" i="48068"/>
  <c r="E19" i="48075"/>
  <c r="Y50" i="48075"/>
  <c r="Z50" i="48075"/>
  <c r="AD51" i="48076"/>
  <c r="G57" i="48076"/>
  <c r="F57" i="48076"/>
  <c r="H57" i="48076"/>
  <c r="Q60" i="48075"/>
  <c r="M18" i="48042"/>
  <c r="E19" i="48042"/>
  <c r="H60" i="48076"/>
  <c r="AA54" i="48076"/>
  <c r="AA58" i="48076"/>
  <c r="D44" i="48072"/>
  <c r="D17" i="48075"/>
  <c r="F17" i="48075" s="1"/>
  <c r="F24" i="48075" s="1"/>
  <c r="L17" i="48075"/>
  <c r="N56" i="48075"/>
  <c r="T56" i="48075"/>
  <c r="W59" i="48075"/>
  <c r="G17" i="48076"/>
  <c r="F17" i="48076"/>
  <c r="E56" i="48076"/>
  <c r="E58" i="48076"/>
  <c r="Q62" i="48076"/>
  <c r="AA60" i="48076"/>
  <c r="H53" i="48076"/>
  <c r="C23" i="48076"/>
  <c r="G23" i="48076"/>
  <c r="F23" i="48076" s="1"/>
  <c r="E20" i="48077"/>
  <c r="F20" i="48077"/>
  <c r="AC62" i="48077"/>
  <c r="K18" i="48065"/>
  <c r="E18" i="48065"/>
  <c r="G18" i="48065"/>
  <c r="F18" i="48065"/>
  <c r="K23" i="48065"/>
  <c r="E23" i="48065"/>
  <c r="K21" i="48075"/>
  <c r="E21" i="48075"/>
  <c r="F21" i="48075"/>
  <c r="H21" i="48075"/>
  <c r="F20" i="48075"/>
  <c r="K20" i="48075"/>
  <c r="H20" i="48075"/>
  <c r="E17" i="48068"/>
  <c r="K18" i="48075"/>
  <c r="N56" i="48068"/>
  <c r="K23" i="48075"/>
  <c r="M61" i="48068"/>
  <c r="N61" i="48068"/>
  <c r="N52" i="48068"/>
  <c r="E17" i="48075"/>
  <c r="U18" i="48068"/>
  <c r="G21" i="48065"/>
  <c r="F21" i="48065"/>
  <c r="H21" i="48065"/>
  <c r="K18" i="48068"/>
  <c r="M18" i="48068" s="1"/>
  <c r="E18" i="48075"/>
  <c r="F19" i="48075"/>
  <c r="U20" i="48065"/>
  <c r="E23" i="48042"/>
  <c r="F23" i="48042"/>
  <c r="G21" i="48068"/>
  <c r="F21" i="48068"/>
  <c r="K21" i="48068"/>
  <c r="M21" i="48068"/>
  <c r="H21" i="48068"/>
  <c r="N54" i="48068"/>
  <c r="U21" i="48068"/>
  <c r="K19" i="48065"/>
  <c r="E19" i="48065"/>
  <c r="G19" i="48065"/>
  <c r="F19" i="48065" s="1"/>
  <c r="L24" i="48077"/>
  <c r="M24" i="48077" s="1"/>
  <c r="D23" i="48077"/>
  <c r="E23" i="48077" s="1"/>
  <c r="D24" i="48077"/>
  <c r="M62" i="48078"/>
  <c r="AC62" i="48078"/>
  <c r="E23" i="48078"/>
  <c r="P23" i="48078"/>
  <c r="U49" i="48078"/>
  <c r="AC49" i="48078"/>
  <c r="E50" i="48078"/>
  <c r="W50" i="48078"/>
  <c r="AA50" i="48078"/>
  <c r="U51" i="48078"/>
  <c r="AC51" i="48078"/>
  <c r="E52" i="48078"/>
  <c r="W52" i="48078"/>
  <c r="AA52" i="48078"/>
  <c r="U53" i="48078"/>
  <c r="AC53" i="48078"/>
  <c r="E54" i="48078"/>
  <c r="W54" i="48078"/>
  <c r="AA54" i="48078"/>
  <c r="U55" i="48078"/>
  <c r="AC55" i="48078"/>
  <c r="E56" i="48078"/>
  <c r="W56" i="48078"/>
  <c r="AA56" i="48078"/>
  <c r="U57" i="48078"/>
  <c r="AC57" i="48078"/>
  <c r="E58" i="48078"/>
  <c r="W58" i="48078"/>
  <c r="AA58" i="48078"/>
  <c r="U59" i="48078"/>
  <c r="AC59" i="48078"/>
  <c r="E60" i="48078"/>
  <c r="W60" i="48078"/>
  <c r="AA60" i="48078"/>
  <c r="U61" i="48078"/>
  <c r="AC61" i="48078"/>
  <c r="E20" i="48078"/>
  <c r="F22" i="48078"/>
  <c r="E17" i="48078"/>
  <c r="D18" i="48078"/>
  <c r="F18" i="48078" s="1"/>
  <c r="H49" i="48078"/>
  <c r="AD49" i="48078"/>
  <c r="X50" i="48078"/>
  <c r="AD51" i="48078"/>
  <c r="X52" i="48078"/>
  <c r="AD53" i="48078"/>
  <c r="X54" i="48078"/>
  <c r="AD55" i="48078"/>
  <c r="AD57" i="48078"/>
  <c r="X58" i="48078"/>
  <c r="AD59" i="48078"/>
  <c r="X60" i="48078"/>
  <c r="T62" i="48078"/>
  <c r="E49" i="48078"/>
  <c r="W49" i="48078"/>
  <c r="AA49" i="48078"/>
  <c r="AC50" i="48078"/>
  <c r="W51" i="48078"/>
  <c r="AC52" i="48078"/>
  <c r="W53" i="48078"/>
  <c r="AC54" i="48078"/>
  <c r="W55" i="48078"/>
  <c r="AC56" i="48078"/>
  <c r="W57" i="48078"/>
  <c r="AC58" i="48078"/>
  <c r="W59" i="48078"/>
  <c r="AC60" i="48078"/>
  <c r="W61" i="48078"/>
  <c r="M18" i="48078"/>
  <c r="E18" i="48078"/>
  <c r="M62" i="48079"/>
  <c r="N62" i="48079"/>
  <c r="H50" i="48079"/>
  <c r="H53" i="48079"/>
  <c r="E54" i="48079"/>
  <c r="F56" i="48079"/>
  <c r="H59" i="48079"/>
  <c r="E50" i="48079"/>
  <c r="E60" i="48079"/>
  <c r="D62" i="48079"/>
  <c r="V62" i="48079"/>
  <c r="H51" i="48079"/>
  <c r="H52" i="48079"/>
  <c r="F54" i="48079"/>
  <c r="E56" i="48079"/>
  <c r="H58" i="48079"/>
  <c r="F59" i="48079"/>
  <c r="F61" i="48079"/>
  <c r="H22" i="48079"/>
  <c r="G19" i="48079"/>
  <c r="E22" i="48079"/>
  <c r="N24" i="48079"/>
  <c r="C62" i="48079"/>
  <c r="E62" i="48079" s="1"/>
  <c r="H49" i="48079"/>
  <c r="O24" i="48079"/>
  <c r="Q24" i="48079" s="1"/>
  <c r="H18" i="48079"/>
  <c r="Y52" i="48079"/>
  <c r="E53" i="48079"/>
  <c r="Y56" i="48079"/>
  <c r="E57" i="48079"/>
  <c r="Y60" i="48079"/>
  <c r="E61" i="48079"/>
  <c r="E17" i="48079"/>
  <c r="H17" i="48079"/>
  <c r="F19" i="48079"/>
  <c r="E19" i="48079"/>
  <c r="E21" i="48079"/>
  <c r="G22" i="48079"/>
  <c r="F22" i="48079" s="1"/>
  <c r="G49" i="48079"/>
  <c r="F49" i="48079" s="1"/>
  <c r="G53" i="48079"/>
  <c r="F53" i="48079" s="1"/>
  <c r="G57" i="48079"/>
  <c r="F57" i="48079" s="1"/>
  <c r="D24" i="48079"/>
  <c r="AB24" i="48079"/>
  <c r="E51" i="48079"/>
  <c r="Y54" i="48079"/>
  <c r="E55" i="48079"/>
  <c r="Y58" i="48079"/>
  <c r="E59" i="48079"/>
  <c r="AG61" i="48079"/>
  <c r="AE61" i="48079"/>
  <c r="G18" i="48079"/>
  <c r="F18" i="48079"/>
  <c r="E49" i="48079"/>
  <c r="AA49" i="48079"/>
  <c r="AE49" i="48079"/>
  <c r="AG50" i="48079"/>
  <c r="AA51" i="48079"/>
  <c r="AG52" i="48079"/>
  <c r="AA53" i="48079"/>
  <c r="AG54" i="48079"/>
  <c r="AA55" i="48079"/>
  <c r="AG56" i="48079"/>
  <c r="AA57" i="48079"/>
  <c r="G60" i="48079"/>
  <c r="F60" i="48079" s="1"/>
  <c r="AB49" i="48079"/>
  <c r="H20" i="48079"/>
  <c r="F20" i="48079"/>
  <c r="E20" i="48079"/>
  <c r="G23" i="48079"/>
  <c r="F23" i="48079"/>
  <c r="E23" i="48079"/>
  <c r="C24" i="48079"/>
  <c r="G24" i="48079" s="1"/>
  <c r="E18" i="48079"/>
  <c r="H22" i="48080"/>
  <c r="H21" i="48080"/>
  <c r="M20" i="48080"/>
  <c r="H20" i="48080"/>
  <c r="L24" i="48080"/>
  <c r="H17" i="48080"/>
  <c r="AG56" i="48080"/>
  <c r="AE56" i="48080"/>
  <c r="AG57" i="48080"/>
  <c r="AE57" i="48080"/>
  <c r="AG59" i="48080"/>
  <c r="AG60" i="48080"/>
  <c r="AE60" i="48080"/>
  <c r="AA49" i="48080"/>
  <c r="AE52" i="48080"/>
  <c r="E53" i="48080"/>
  <c r="Y61" i="48080"/>
  <c r="E17" i="48080"/>
  <c r="F18" i="48080"/>
  <c r="E18" i="48080"/>
  <c r="F21" i="48080"/>
  <c r="AH49" i="48080"/>
  <c r="AE51" i="48080"/>
  <c r="AH53" i="48080"/>
  <c r="AH56" i="48080"/>
  <c r="AH57" i="48080"/>
  <c r="AH58" i="48080"/>
  <c r="AH60" i="48080"/>
  <c r="F22" i="48080"/>
  <c r="E22" i="48080"/>
  <c r="AG55" i="48080"/>
  <c r="C62" i="48080"/>
  <c r="G62" i="48080"/>
  <c r="F62" i="48080" s="1"/>
  <c r="W62" i="48080"/>
  <c r="AH52" i="48080"/>
  <c r="D24" i="48080"/>
  <c r="H55" i="48080"/>
  <c r="H56" i="48080"/>
  <c r="H59" i="48080"/>
  <c r="H60" i="48080"/>
  <c r="X62" i="48080"/>
  <c r="Y62" i="48080"/>
  <c r="AH54" i="48080"/>
  <c r="AE54" i="48080"/>
  <c r="AD62" i="48080"/>
  <c r="AE58" i="48080"/>
  <c r="AE50" i="48080"/>
  <c r="AA54" i="48080"/>
  <c r="AB55" i="48080"/>
  <c r="AB58" i="48080"/>
  <c r="Y50" i="48080"/>
  <c r="AB51" i="48080"/>
  <c r="O24" i="48080"/>
  <c r="Q24" i="48080"/>
  <c r="E61" i="48080"/>
  <c r="F59" i="48080"/>
  <c r="F58" i="48080"/>
  <c r="E57" i="48080"/>
  <c r="N62" i="48080"/>
  <c r="H54" i="48080"/>
  <c r="F54" i="48080"/>
  <c r="F52" i="48080"/>
  <c r="H52" i="48080"/>
  <c r="H51" i="48080"/>
  <c r="F51" i="48080"/>
  <c r="D62" i="48080"/>
  <c r="E62" i="48080"/>
  <c r="E49" i="48080"/>
  <c r="H49" i="48080"/>
  <c r="AH52" i="48081"/>
  <c r="AG60" i="48081"/>
  <c r="AH50" i="48081"/>
  <c r="AG54" i="48081"/>
  <c r="AG56" i="48081"/>
  <c r="AH54" i="48081"/>
  <c r="AH56" i="48081"/>
  <c r="AA51" i="48081"/>
  <c r="V62" i="48081"/>
  <c r="H61" i="48081"/>
  <c r="H59" i="48081"/>
  <c r="F59" i="48081"/>
  <c r="H57" i="48081"/>
  <c r="H55" i="48081"/>
  <c r="F55" i="48081"/>
  <c r="H53" i="48081"/>
  <c r="N62" i="48081"/>
  <c r="D62" i="48081"/>
  <c r="H50" i="48081"/>
  <c r="F50" i="48081"/>
  <c r="H49" i="48081"/>
  <c r="E49" i="48081"/>
  <c r="F19" i="48081"/>
  <c r="F53" i="48081"/>
  <c r="F57" i="48081"/>
  <c r="F61" i="48081"/>
  <c r="F51" i="48081"/>
  <c r="AA52" i="48081"/>
  <c r="Y52" i="48081"/>
  <c r="AA53" i="48081"/>
  <c r="Y53" i="48081"/>
  <c r="AA55" i="48081"/>
  <c r="Y55" i="48081"/>
  <c r="AA57" i="48081"/>
  <c r="Y57" i="48081"/>
  <c r="AA58" i="48081"/>
  <c r="Y58" i="48081"/>
  <c r="AA59" i="48081"/>
  <c r="Y59" i="48081"/>
  <c r="AA61" i="48081"/>
  <c r="Y61" i="48081"/>
  <c r="F17" i="48081"/>
  <c r="E17" i="48081"/>
  <c r="F18" i="48081"/>
  <c r="D20" i="48081"/>
  <c r="M20" i="48081"/>
  <c r="M23" i="48081"/>
  <c r="C23" i="48081"/>
  <c r="G23" i="48081" s="1"/>
  <c r="F23" i="48081"/>
  <c r="L24" i="48081"/>
  <c r="M24" i="48081"/>
  <c r="AA49" i="48081"/>
  <c r="X62" i="48081"/>
  <c r="AC62" i="48081"/>
  <c r="AE62" i="48081"/>
  <c r="AH49" i="48081"/>
  <c r="AE50" i="48081"/>
  <c r="E18" i="48081"/>
  <c r="D22" i="48081"/>
  <c r="M22" i="48081"/>
  <c r="Y49" i="48081"/>
  <c r="E51" i="48081"/>
  <c r="AB52" i="48081"/>
  <c r="AB53" i="48081"/>
  <c r="AB55" i="48081"/>
  <c r="AB57" i="48081"/>
  <c r="AB58" i="48081"/>
  <c r="AB59" i="48081"/>
  <c r="AB61" i="48081"/>
  <c r="Q62" i="48081"/>
  <c r="C24" i="48081"/>
  <c r="G24" i="48081" s="1"/>
  <c r="AA54" i="48081"/>
  <c r="Y54" i="48081"/>
  <c r="AA56" i="48081"/>
  <c r="Y56" i="48081"/>
  <c r="AA60" i="48081"/>
  <c r="Y60" i="48081"/>
  <c r="R62" i="48081"/>
  <c r="Y50" i="48081"/>
  <c r="H18" i="48081"/>
  <c r="E19" i="48081"/>
  <c r="E21" i="48081"/>
  <c r="E23" i="48081"/>
  <c r="AF62" i="48081"/>
  <c r="AG62" i="48081"/>
  <c r="AB50" i="48081"/>
  <c r="AE49" i="48081"/>
  <c r="K17" i="48065"/>
  <c r="G17" i="48065"/>
  <c r="F17" i="48065"/>
  <c r="E17" i="48065"/>
  <c r="H17" i="48065"/>
  <c r="W63" i="48075"/>
  <c r="U19" i="48068"/>
  <c r="Q17" i="48075"/>
  <c r="AD62" i="48042"/>
  <c r="G23" i="48068"/>
  <c r="K23" i="48068"/>
  <c r="M50" i="48075"/>
  <c r="N50" i="48075"/>
  <c r="L50" i="48065"/>
  <c r="E50" i="48065"/>
  <c r="D62" i="48065"/>
  <c r="S62" i="48065"/>
  <c r="W62" i="48075"/>
  <c r="Y62" i="48075"/>
  <c r="Z62" i="48075"/>
  <c r="E61" i="48076"/>
  <c r="D62" i="48076"/>
  <c r="H17" i="48077"/>
  <c r="G17" i="48077"/>
  <c r="F17" i="48077" s="1"/>
  <c r="H51" i="48078"/>
  <c r="E51" i="48078"/>
  <c r="G51" i="48078"/>
  <c r="F51" i="48078"/>
  <c r="AH50" i="48079"/>
  <c r="AE50" i="48079"/>
  <c r="AC62" i="48079"/>
  <c r="AE62" i="48079"/>
  <c r="Y51" i="48079"/>
  <c r="AB51" i="48079"/>
  <c r="C24" i="48078"/>
  <c r="G24" i="48078"/>
  <c r="D24" i="48075"/>
  <c r="F23" i="48075"/>
  <c r="E23" i="48076"/>
  <c r="Y54" i="48075"/>
  <c r="M58" i="48068"/>
  <c r="R17" i="48075"/>
  <c r="Y62" i="48068"/>
  <c r="Q49" i="48065"/>
  <c r="Y51" i="48065"/>
  <c r="AA61" i="48076"/>
  <c r="AB62" i="48076"/>
  <c r="AC62" i="48076" s="1"/>
  <c r="Y62" i="48076"/>
  <c r="AA62" i="48076" s="1"/>
  <c r="X56" i="48042"/>
  <c r="M53" i="48065"/>
  <c r="C62" i="48042"/>
  <c r="G62" i="48042" s="1"/>
  <c r="F62" i="48042" s="1"/>
  <c r="Y55" i="48065"/>
  <c r="W54" i="48075"/>
  <c r="O62" i="48065"/>
  <c r="Q62" i="48065" s="1"/>
  <c r="F50" i="48065"/>
  <c r="U20" i="48078"/>
  <c r="R20" i="48065"/>
  <c r="AA22" i="48080"/>
  <c r="AC22" i="48080" s="1"/>
  <c r="AA22" i="48079"/>
  <c r="AC22" i="48079" s="1"/>
  <c r="V22" i="48077"/>
  <c r="X22" i="48077" s="1"/>
  <c r="V22" i="48078"/>
  <c r="S22" i="48065"/>
  <c r="U22" i="48065"/>
  <c r="P23" i="48065"/>
  <c r="P23" i="48075"/>
  <c r="Q23" i="48075"/>
  <c r="N23" i="48065"/>
  <c r="Q23" i="48077"/>
  <c r="N23" i="48068"/>
  <c r="J44" i="48057"/>
  <c r="O44" i="48057"/>
  <c r="K22" i="48075"/>
  <c r="E22" i="48075"/>
  <c r="F22" i="48075"/>
  <c r="U52" i="48042"/>
  <c r="W52" i="48042"/>
  <c r="G51" i="48065"/>
  <c r="F51" i="48065"/>
  <c r="H51" i="48065"/>
  <c r="U62" i="48065"/>
  <c r="W62" i="48065" s="1"/>
  <c r="L54" i="48065"/>
  <c r="T53" i="48068"/>
  <c r="O63" i="48068"/>
  <c r="L62" i="48068"/>
  <c r="H62" i="48068"/>
  <c r="E62" i="48068"/>
  <c r="S57" i="48068"/>
  <c r="T57" i="48068"/>
  <c r="T63" i="48068" s="1"/>
  <c r="Z59" i="48068"/>
  <c r="Z63" i="48068"/>
  <c r="W59" i="48068"/>
  <c r="Y59" i="48068"/>
  <c r="V63" i="48068"/>
  <c r="Q52" i="48075"/>
  <c r="S52" i="48075"/>
  <c r="P63" i="48075"/>
  <c r="E57" i="48075"/>
  <c r="H57" i="48075"/>
  <c r="Q57" i="48075"/>
  <c r="S57" i="48075"/>
  <c r="S62" i="48075"/>
  <c r="T62" i="48075"/>
  <c r="Q62" i="48075"/>
  <c r="E51" i="48042"/>
  <c r="H51" i="48042"/>
  <c r="E56" i="48042"/>
  <c r="H21" i="48077"/>
  <c r="E21" i="48077"/>
  <c r="G21" i="48077"/>
  <c r="F21" i="48077" s="1"/>
  <c r="V19" i="48077"/>
  <c r="X50" i="48077"/>
  <c r="T62" i="48077"/>
  <c r="X54" i="48077"/>
  <c r="U54" i="48077"/>
  <c r="W54" i="48077"/>
  <c r="X58" i="48077"/>
  <c r="U58" i="48077"/>
  <c r="W58" i="48077"/>
  <c r="AA49" i="48077"/>
  <c r="AC49" i="48077"/>
  <c r="AA57" i="48077"/>
  <c r="R21" i="48078"/>
  <c r="T21" i="48078" s="1"/>
  <c r="M23" i="48080"/>
  <c r="C23" i="48080"/>
  <c r="K24" i="48080"/>
  <c r="M24" i="48080" s="1"/>
  <c r="AE49" i="48080"/>
  <c r="AG49" i="48080"/>
  <c r="AH59" i="48080"/>
  <c r="AH62" i="48080" s="1"/>
  <c r="H57" i="48080"/>
  <c r="Y50" i="48079"/>
  <c r="E24" i="48079"/>
  <c r="F23" i="48077"/>
  <c r="H19" i="48065"/>
  <c r="C24" i="48076"/>
  <c r="G24" i="48076"/>
  <c r="E18" i="48068"/>
  <c r="H17" i="48075"/>
  <c r="E23" i="48075"/>
  <c r="M58" i="48065"/>
  <c r="G17" i="48068"/>
  <c r="F17" i="48068"/>
  <c r="L23" i="48065"/>
  <c r="M23" i="48065"/>
  <c r="K19" i="48068"/>
  <c r="X63" i="48075"/>
  <c r="Y63" i="48075" s="1"/>
  <c r="S20" i="48068"/>
  <c r="S24" i="48068" s="1"/>
  <c r="U24" i="48068" s="1"/>
  <c r="U20" i="48068"/>
  <c r="N22" i="48068"/>
  <c r="N24" i="48068"/>
  <c r="S22" i="48068"/>
  <c r="U22" i="48068"/>
  <c r="O19" i="48068"/>
  <c r="Q19" i="48068"/>
  <c r="U20" i="48076"/>
  <c r="U24" i="48076"/>
  <c r="N50" i="48068"/>
  <c r="D24" i="48076"/>
  <c r="E24" i="48076" s="1"/>
  <c r="T23" i="48042"/>
  <c r="N23" i="48075"/>
  <c r="N24" i="48075"/>
  <c r="U23" i="48076"/>
  <c r="P23" i="48068"/>
  <c r="AC53" i="48077"/>
  <c r="N51" i="48068"/>
  <c r="H22" i="48075"/>
  <c r="W55" i="48065"/>
  <c r="N55" i="48068"/>
  <c r="E56" i="48075"/>
  <c r="N52" i="48075"/>
  <c r="U63" i="48068"/>
  <c r="M52" i="48075"/>
  <c r="F56" i="48075"/>
  <c r="Q53" i="48068"/>
  <c r="K57" i="48075"/>
  <c r="N57" i="48075"/>
  <c r="T55" i="48068"/>
  <c r="G59" i="48042"/>
  <c r="F59" i="48042" s="1"/>
  <c r="K51" i="48065"/>
  <c r="N51" i="48065" s="1"/>
  <c r="T59" i="48075"/>
  <c r="F54" i="48065"/>
  <c r="N57" i="48065"/>
  <c r="M57" i="48065"/>
  <c r="K62" i="48065"/>
  <c r="W18" i="48078"/>
  <c r="W18" i="48077"/>
  <c r="AA18" i="48079"/>
  <c r="AC18" i="48079"/>
  <c r="V18" i="48077"/>
  <c r="X18" i="48077"/>
  <c r="V18" i="48042"/>
  <c r="X18" i="48042"/>
  <c r="AA18" i="48080"/>
  <c r="AC18" i="48080"/>
  <c r="H42" i="48060"/>
  <c r="S17" i="48065"/>
  <c r="Q20" i="48077"/>
  <c r="N20" i="48065"/>
  <c r="N24" i="48065" s="1"/>
  <c r="V20" i="48080"/>
  <c r="V20" i="48079"/>
  <c r="Q20" i="48078"/>
  <c r="Q20" i="48042"/>
  <c r="W21" i="48079"/>
  <c r="Y21" i="48079" s="1"/>
  <c r="R21" i="48077"/>
  <c r="C22" i="48068"/>
  <c r="C24" i="48068"/>
  <c r="G24" i="48068" s="1"/>
  <c r="C22" i="48065"/>
  <c r="X55" i="48042"/>
  <c r="W55" i="48042"/>
  <c r="U55" i="48042"/>
  <c r="L21" i="48065"/>
  <c r="M21" i="48065" s="1"/>
  <c r="X62" i="48065"/>
  <c r="Y62" i="48065" s="1"/>
  <c r="Y49" i="48065"/>
  <c r="M60" i="48065"/>
  <c r="M51" i="48068"/>
  <c r="D19" i="48068"/>
  <c r="L59" i="48068"/>
  <c r="E59" i="48068"/>
  <c r="H59" i="48068"/>
  <c r="P63" i="48068"/>
  <c r="S50" i="48068"/>
  <c r="Q50" i="48068"/>
  <c r="Q54" i="48068"/>
  <c r="T54" i="48068"/>
  <c r="M56" i="48075"/>
  <c r="W56" i="48075"/>
  <c r="Z56" i="48075"/>
  <c r="Z63" i="48075" s="1"/>
  <c r="H17" i="48042"/>
  <c r="C24" i="48042"/>
  <c r="G24" i="48042"/>
  <c r="G17" i="48042"/>
  <c r="F17" i="48042"/>
  <c r="H50" i="48042"/>
  <c r="G50" i="48076"/>
  <c r="F50" i="48076" s="1"/>
  <c r="E50" i="48076"/>
  <c r="H50" i="48076"/>
  <c r="U51" i="48076"/>
  <c r="S62" i="48076"/>
  <c r="M22" i="48076"/>
  <c r="L24" i="48076"/>
  <c r="M24" i="48076" s="1"/>
  <c r="AC49" i="48076"/>
  <c r="AA49" i="48076"/>
  <c r="AD49" i="48076"/>
  <c r="AD62" i="48076" s="1"/>
  <c r="N62" i="48077"/>
  <c r="G55" i="48077"/>
  <c r="F55" i="48077"/>
  <c r="E55" i="48077"/>
  <c r="V18" i="48078"/>
  <c r="X18" i="48078" s="1"/>
  <c r="H57" i="48078"/>
  <c r="W21" i="48080"/>
  <c r="Y21" i="48080"/>
  <c r="U17" i="48042"/>
  <c r="U17" i="48078"/>
  <c r="U17" i="48077"/>
  <c r="S19" i="48078"/>
  <c r="S19" i="48077"/>
  <c r="S19" i="48042"/>
  <c r="T19" i="48042"/>
  <c r="P19" i="48065"/>
  <c r="Q19" i="48065" s="1"/>
  <c r="U60" i="48042"/>
  <c r="AC58" i="48042"/>
  <c r="AA58" i="48042"/>
  <c r="Z54" i="48065"/>
  <c r="Z62" i="48065" s="1"/>
  <c r="W54" i="48065"/>
  <c r="Z58" i="48065"/>
  <c r="W58" i="48065"/>
  <c r="T54" i="48075"/>
  <c r="Q54" i="48075"/>
  <c r="U56" i="48076"/>
  <c r="W56" i="48076"/>
  <c r="W62" i="48079"/>
  <c r="E63" i="48068"/>
  <c r="F18" i="48075"/>
  <c r="H17" i="48068"/>
  <c r="H23" i="48065"/>
  <c r="O18" i="48068"/>
  <c r="O21" i="48075"/>
  <c r="Q21" i="48075"/>
  <c r="S19" i="48076"/>
  <c r="T19" i="48076"/>
  <c r="X56" i="48078"/>
  <c r="H18" i="48068"/>
  <c r="E21" i="48065"/>
  <c r="K17" i="48075"/>
  <c r="U52" i="48076"/>
  <c r="O21" i="48068"/>
  <c r="R21" i="48076"/>
  <c r="T21" i="48076" s="1"/>
  <c r="R17" i="48065"/>
  <c r="S22" i="48075"/>
  <c r="U22" i="48075"/>
  <c r="T49" i="48065"/>
  <c r="R20" i="48075"/>
  <c r="O22" i="48068"/>
  <c r="Q22" i="48068"/>
  <c r="V62" i="48042"/>
  <c r="R17" i="48042"/>
  <c r="D44" i="48057"/>
  <c r="X21" i="48076"/>
  <c r="U23" i="48042"/>
  <c r="S23" i="48076"/>
  <c r="T23" i="48076" s="1"/>
  <c r="C24" i="48077"/>
  <c r="G24" i="48077" s="1"/>
  <c r="E17" i="48077"/>
  <c r="E19" i="48076"/>
  <c r="H19" i="48076"/>
  <c r="C62" i="48065"/>
  <c r="G62" i="48065"/>
  <c r="F62" i="48065" s="1"/>
  <c r="Z62" i="48042"/>
  <c r="N60" i="48068"/>
  <c r="S62" i="48042"/>
  <c r="W61" i="48068"/>
  <c r="X53" i="48042"/>
  <c r="E54" i="48065"/>
  <c r="W60" i="48042"/>
  <c r="F50" i="48042"/>
  <c r="T62" i="48042"/>
  <c r="AA20" i="48079"/>
  <c r="AC20" i="48079"/>
  <c r="V20" i="48078"/>
  <c r="AA20" i="48080"/>
  <c r="AC20" i="48080" s="1"/>
  <c r="V20" i="48042"/>
  <c r="S17" i="48075"/>
  <c r="V19" i="48076"/>
  <c r="X19" i="48076" s="1"/>
  <c r="S19" i="48065"/>
  <c r="U19" i="48065" s="1"/>
  <c r="V22" i="48080"/>
  <c r="V22" i="48079"/>
  <c r="Q22" i="48078"/>
  <c r="Q22" i="48077"/>
  <c r="Q22" i="48042"/>
  <c r="V19" i="48080"/>
  <c r="V19" i="48079"/>
  <c r="Q19" i="48077"/>
  <c r="Q19" i="48078"/>
  <c r="E44" i="48057"/>
  <c r="W20" i="48080"/>
  <c r="Y20" i="48080" s="1"/>
  <c r="W20" i="48079"/>
  <c r="Y20" i="48079" s="1"/>
  <c r="R20" i="48078"/>
  <c r="T20" i="48078" s="1"/>
  <c r="R20" i="48077"/>
  <c r="T20" i="48077" s="1"/>
  <c r="R20" i="48042"/>
  <c r="T20" i="48042" s="1"/>
  <c r="R20" i="48076"/>
  <c r="R24" i="48076" s="1"/>
  <c r="O20" i="48075"/>
  <c r="Q20" i="48075" s="1"/>
  <c r="W17" i="48079"/>
  <c r="W17" i="48080"/>
  <c r="R17" i="48078"/>
  <c r="R17" i="48077"/>
  <c r="O17" i="48065"/>
  <c r="R22" i="48076"/>
  <c r="R22" i="48042"/>
  <c r="R18" i="48077"/>
  <c r="D44" i="48058"/>
  <c r="C20" i="48065"/>
  <c r="C24" i="48065"/>
  <c r="C20" i="48068"/>
  <c r="U57" i="48042"/>
  <c r="X57" i="48042"/>
  <c r="E22" i="48065"/>
  <c r="S49" i="48065"/>
  <c r="T53" i="48065"/>
  <c r="L61" i="48065"/>
  <c r="N61" i="48065" s="1"/>
  <c r="M61" i="48065"/>
  <c r="F61" i="48065"/>
  <c r="E61" i="48065"/>
  <c r="H61" i="48065"/>
  <c r="E53" i="48075"/>
  <c r="K53" i="48075"/>
  <c r="F53" i="48075"/>
  <c r="H53" i="48075"/>
  <c r="S53" i="48075"/>
  <c r="Q53" i="48075"/>
  <c r="L62" i="48075"/>
  <c r="F62" i="48075"/>
  <c r="M20" i="48042"/>
  <c r="D20" i="48042"/>
  <c r="G49" i="48076"/>
  <c r="F49" i="48076" s="1"/>
  <c r="H49" i="48076"/>
  <c r="U58" i="48076"/>
  <c r="X58" i="48076"/>
  <c r="X62" i="48076" s="1"/>
  <c r="H59" i="48076"/>
  <c r="G59" i="48076"/>
  <c r="F59" i="48076" s="1"/>
  <c r="G60" i="48076"/>
  <c r="F60" i="48076" s="1"/>
  <c r="E60" i="48076"/>
  <c r="H61" i="48076"/>
  <c r="U59" i="48076"/>
  <c r="W59" i="48076"/>
  <c r="C62" i="48078"/>
  <c r="Y49" i="48079"/>
  <c r="X62" i="48079"/>
  <c r="AG58" i="48079"/>
  <c r="AH58" i="48079"/>
  <c r="AE58" i="48079"/>
  <c r="W23" i="48078"/>
  <c r="W23" i="48077"/>
  <c r="W20" i="48042"/>
  <c r="W17" i="48042"/>
  <c r="U23" i="48077"/>
  <c r="U19" i="48077"/>
  <c r="U19" i="48078"/>
  <c r="J42" i="48060"/>
  <c r="S23" i="48078"/>
  <c r="S23" i="48077"/>
  <c r="S21" i="48077"/>
  <c r="P21" i="48065"/>
  <c r="X18" i="48079"/>
  <c r="X24" i="48079"/>
  <c r="S18" i="48078"/>
  <c r="S18" i="48077"/>
  <c r="X18" i="48080"/>
  <c r="X24" i="48080"/>
  <c r="V18" i="48080"/>
  <c r="V18" i="48079"/>
  <c r="Q18" i="48077"/>
  <c r="Q18" i="48042"/>
  <c r="Q24" i="48042" s="1"/>
  <c r="W23" i="48080"/>
  <c r="Y23" i="48080" s="1"/>
  <c r="W23" i="48079"/>
  <c r="Y23" i="48079" s="1"/>
  <c r="R23" i="48078"/>
  <c r="T23" i="48078" s="1"/>
  <c r="R23" i="48077"/>
  <c r="T23" i="48077" s="1"/>
  <c r="W19" i="48080"/>
  <c r="Y19" i="48080" s="1"/>
  <c r="W19" i="48079"/>
  <c r="Y19" i="48079" s="1"/>
  <c r="AA56" i="48042"/>
  <c r="W56" i="48065"/>
  <c r="Z56" i="48065"/>
  <c r="P21" i="48068"/>
  <c r="P24" i="48068"/>
  <c r="G54" i="48068"/>
  <c r="F54" i="48068"/>
  <c r="E54" i="48068"/>
  <c r="L57" i="48068"/>
  <c r="N57" i="48068" s="1"/>
  <c r="S51" i="48068"/>
  <c r="G51" i="48076"/>
  <c r="F51" i="48076" s="1"/>
  <c r="W20" i="48078"/>
  <c r="U23" i="48078"/>
  <c r="V62" i="48078"/>
  <c r="W62" i="48078" s="1"/>
  <c r="H53" i="48078"/>
  <c r="E53" i="48078"/>
  <c r="S62" i="48078"/>
  <c r="U62" i="48078" s="1"/>
  <c r="X55" i="48078"/>
  <c r="X62" i="48078" s="1"/>
  <c r="H59" i="48078"/>
  <c r="G59" i="48078"/>
  <c r="F59" i="48078" s="1"/>
  <c r="H21" i="48079"/>
  <c r="G21" i="48079"/>
  <c r="F21" i="48079"/>
  <c r="F24" i="48079" s="1"/>
  <c r="AF62" i="48080"/>
  <c r="AG62" i="48080" s="1"/>
  <c r="W22" i="48078"/>
  <c r="W22" i="48077"/>
  <c r="U18" i="48078"/>
  <c r="R18" i="48065"/>
  <c r="AA23" i="48079"/>
  <c r="AC23" i="48079" s="1"/>
  <c r="AA23" i="48080"/>
  <c r="AC23" i="48080" s="1"/>
  <c r="V23" i="48078"/>
  <c r="V23" i="48042"/>
  <c r="X23" i="48042"/>
  <c r="V23" i="48077"/>
  <c r="X23" i="48077"/>
  <c r="S20" i="48077"/>
  <c r="S20" i="48078"/>
  <c r="S17" i="48078"/>
  <c r="S24" i="48078"/>
  <c r="S17" i="48077"/>
  <c r="S24" i="48077"/>
  <c r="S17" i="48042"/>
  <c r="V17" i="48080"/>
  <c r="V17" i="48079"/>
  <c r="Q17" i="48077"/>
  <c r="Q24" i="48077"/>
  <c r="W22" i="48080"/>
  <c r="Y22" i="48080"/>
  <c r="R22" i="48078"/>
  <c r="T22" i="48078"/>
  <c r="R22" i="48077"/>
  <c r="T22" i="48077"/>
  <c r="AC61" i="48042"/>
  <c r="AC52" i="48042"/>
  <c r="D44" i="48063"/>
  <c r="T52" i="48065"/>
  <c r="Z59" i="48065"/>
  <c r="G58" i="48068"/>
  <c r="F58" i="48068" s="1"/>
  <c r="H58" i="48068"/>
  <c r="D23" i="48068"/>
  <c r="M22" i="48075"/>
  <c r="T57" i="48075"/>
  <c r="T63" i="48075" s="1"/>
  <c r="W58" i="48075"/>
  <c r="Y58" i="48075"/>
  <c r="M59" i="48075"/>
  <c r="M61" i="48075"/>
  <c r="G52" i="48076"/>
  <c r="F52" i="48076" s="1"/>
  <c r="U55" i="48076"/>
  <c r="AC59" i="48076"/>
  <c r="W17" i="48077"/>
  <c r="R19" i="48077"/>
  <c r="R62" i="48078"/>
  <c r="Y62" i="48078"/>
  <c r="AA62" i="48078"/>
  <c r="E59" i="48078"/>
  <c r="R19" i="48078"/>
  <c r="T19" i="48078" s="1"/>
  <c r="R62" i="48080"/>
  <c r="W19" i="48077"/>
  <c r="S22" i="48077"/>
  <c r="G49" i="48077"/>
  <c r="F49" i="48077" s="1"/>
  <c r="C62" i="48077"/>
  <c r="E62" i="48077" s="1"/>
  <c r="H49" i="48077"/>
  <c r="F52" i="48077"/>
  <c r="H60" i="48077"/>
  <c r="G60" i="48077"/>
  <c r="F60" i="48077" s="1"/>
  <c r="H61" i="48077"/>
  <c r="G61" i="48077"/>
  <c r="F61" i="48077"/>
  <c r="F19" i="48078"/>
  <c r="D62" i="48078"/>
  <c r="H62" i="48078" s="1"/>
  <c r="F53" i="48078"/>
  <c r="H52" i="48078"/>
  <c r="AB55" i="48079"/>
  <c r="Y55" i="48079"/>
  <c r="AG57" i="48079"/>
  <c r="AE57" i="48079"/>
  <c r="AG59" i="48079"/>
  <c r="AE59" i="48079"/>
  <c r="G20" i="48080"/>
  <c r="F20" i="48080" s="1"/>
  <c r="E20" i="48080"/>
  <c r="AC62" i="48080"/>
  <c r="AE62" i="48080"/>
  <c r="V62" i="48080"/>
  <c r="AA56" i="48080"/>
  <c r="Y56" i="48080"/>
  <c r="AA21" i="48079"/>
  <c r="AC21" i="48079" s="1"/>
  <c r="AA21" i="48080"/>
  <c r="AC21" i="48080" s="1"/>
  <c r="V21" i="48077"/>
  <c r="AA19" i="48079"/>
  <c r="AC19" i="48079" s="1"/>
  <c r="AA19" i="48080"/>
  <c r="AC19" i="48080" s="1"/>
  <c r="V19" i="48078"/>
  <c r="X19" i="48078" s="1"/>
  <c r="AA17" i="48079"/>
  <c r="AC17" i="48079" s="1"/>
  <c r="AA17" i="48080"/>
  <c r="V17" i="48077"/>
  <c r="V24" i="48077" s="1"/>
  <c r="V23" i="48079"/>
  <c r="V23" i="48080"/>
  <c r="Q23" i="48078"/>
  <c r="V21" i="48079"/>
  <c r="Q21" i="48077"/>
  <c r="W18" i="48080"/>
  <c r="Y18" i="48080" s="1"/>
  <c r="W18" i="48079"/>
  <c r="Y18" i="48079" s="1"/>
  <c r="Y62" i="48077"/>
  <c r="AA62" i="48077" s="1"/>
  <c r="E53" i="48077"/>
  <c r="AD53" i="48077"/>
  <c r="E60" i="48077"/>
  <c r="E61" i="48077"/>
  <c r="AD61" i="48077"/>
  <c r="G58" i="48077"/>
  <c r="F58" i="48077"/>
  <c r="E21" i="48078"/>
  <c r="F21" i="48078"/>
  <c r="Q21" i="48078"/>
  <c r="E22" i="48078"/>
  <c r="H54" i="48078"/>
  <c r="G54" i="48078"/>
  <c r="F54" i="48078"/>
  <c r="F57" i="48078"/>
  <c r="R18" i="48078"/>
  <c r="T18" i="48078" s="1"/>
  <c r="V17" i="48078"/>
  <c r="X17" i="48078" s="1"/>
  <c r="R62" i="48079"/>
  <c r="AB53" i="48079"/>
  <c r="AB62" i="48079" s="1"/>
  <c r="Y53" i="48079"/>
  <c r="U23" i="48079"/>
  <c r="T24" i="48079"/>
  <c r="U24" i="48079" s="1"/>
  <c r="E54" i="48080"/>
  <c r="Y60" i="48080"/>
  <c r="X49" i="48077"/>
  <c r="X62" i="48077" s="1"/>
  <c r="AD49" i="48077"/>
  <c r="G56" i="48078"/>
  <c r="F56" i="48078" s="1"/>
  <c r="H21" i="48078"/>
  <c r="H61" i="48078"/>
  <c r="Q23" i="48079"/>
  <c r="Z62" i="48079"/>
  <c r="AB56" i="48079"/>
  <c r="AH56" i="48079"/>
  <c r="AH57" i="48079"/>
  <c r="AH59" i="48079"/>
  <c r="H23" i="48079"/>
  <c r="Z62" i="48080"/>
  <c r="AA62" i="48080"/>
  <c r="AB59" i="48080"/>
  <c r="Q23" i="48080"/>
  <c r="AA57" i="48080"/>
  <c r="Y57" i="48080"/>
  <c r="AG54" i="48080"/>
  <c r="H50" i="48078"/>
  <c r="G50" i="48078"/>
  <c r="F50" i="48078" s="1"/>
  <c r="AF62" i="48079"/>
  <c r="AG62" i="48079" s="1"/>
  <c r="AE51" i="48079"/>
  <c r="AG51" i="48079"/>
  <c r="AA56" i="48079"/>
  <c r="AA59" i="48079"/>
  <c r="H18" i="48080"/>
  <c r="G19" i="48080"/>
  <c r="F19" i="48080" s="1"/>
  <c r="H19" i="48080"/>
  <c r="AH61" i="48080"/>
  <c r="AE61" i="48080"/>
  <c r="Y54" i="48080"/>
  <c r="Y58" i="48080"/>
  <c r="AG51" i="48080"/>
  <c r="H50" i="48080"/>
  <c r="G61" i="48080"/>
  <c r="F61" i="48080"/>
  <c r="H20" i="48081"/>
  <c r="F20" i="48081"/>
  <c r="E20" i="48081"/>
  <c r="D24" i="48081"/>
  <c r="E24" i="48081"/>
  <c r="H22" i="48081"/>
  <c r="E22" i="48081"/>
  <c r="F22" i="48081"/>
  <c r="G24" i="48065"/>
  <c r="W24" i="48042"/>
  <c r="X24" i="48042" s="1"/>
  <c r="X17" i="48042"/>
  <c r="AA62" i="48079"/>
  <c r="Y62" i="48079"/>
  <c r="W24" i="48078"/>
  <c r="X19" i="48077"/>
  <c r="E62" i="48076"/>
  <c r="F62" i="48076"/>
  <c r="V24" i="48042"/>
  <c r="P24" i="48075"/>
  <c r="G62" i="48077"/>
  <c r="F62" i="48077" s="1"/>
  <c r="H62" i="48077"/>
  <c r="L23" i="48068"/>
  <c r="M23" i="48068" s="1"/>
  <c r="F23" i="48068"/>
  <c r="E23" i="48068"/>
  <c r="V24" i="48079"/>
  <c r="M62" i="48075"/>
  <c r="N62" i="48075"/>
  <c r="T17" i="48077"/>
  <c r="R24" i="48077"/>
  <c r="T24" i="48077" s="1"/>
  <c r="U62" i="48042"/>
  <c r="W62" i="48042"/>
  <c r="AC62" i="48042"/>
  <c r="AA62" i="48042"/>
  <c r="Q18" i="48068"/>
  <c r="T21" i="48077"/>
  <c r="U17" i="48065"/>
  <c r="S24" i="48065"/>
  <c r="U24" i="48065"/>
  <c r="N54" i="48065"/>
  <c r="M54" i="48065"/>
  <c r="M50" i="48065"/>
  <c r="N50" i="48065"/>
  <c r="L62" i="48065"/>
  <c r="M62" i="48065"/>
  <c r="X17" i="48077"/>
  <c r="T19" i="48077"/>
  <c r="X23" i="48078"/>
  <c r="G62" i="48078"/>
  <c r="F62" i="48078" s="1"/>
  <c r="H20" i="48042"/>
  <c r="E20" i="48042"/>
  <c r="F20" i="48042"/>
  <c r="D24" i="48042"/>
  <c r="E24" i="48042"/>
  <c r="M53" i="48075"/>
  <c r="N53" i="48075"/>
  <c r="H20" i="48068"/>
  <c r="K20" i="48068"/>
  <c r="K24" i="48068" s="1"/>
  <c r="E20" i="48068"/>
  <c r="G20" i="48068"/>
  <c r="F20" i="48068" s="1"/>
  <c r="F24" i="48068" s="1"/>
  <c r="T17" i="48078"/>
  <c r="R24" i="48078"/>
  <c r="T24" i="48078" s="1"/>
  <c r="K24" i="48075"/>
  <c r="U24" i="48077"/>
  <c r="M57" i="48075"/>
  <c r="Q63" i="48068"/>
  <c r="S63" i="48068"/>
  <c r="E19" i="48068"/>
  <c r="L19" i="48068"/>
  <c r="L24" i="48068" s="1"/>
  <c r="M24" i="48068" s="1"/>
  <c r="F19" i="48068"/>
  <c r="D24" i="48068"/>
  <c r="E24" i="48068" s="1"/>
  <c r="H19" i="48068"/>
  <c r="K63" i="48075"/>
  <c r="G23" i="48080"/>
  <c r="F23" i="48080" s="1"/>
  <c r="F24" i="48080"/>
  <c r="E23" i="48080"/>
  <c r="C24" i="48080"/>
  <c r="G24" i="48080" s="1"/>
  <c r="W62" i="48077"/>
  <c r="U62" i="48077"/>
  <c r="Y63" i="48068"/>
  <c r="W63" i="48068"/>
  <c r="M62" i="48068"/>
  <c r="N62" i="48068"/>
  <c r="H23" i="48068"/>
  <c r="M17" i="48075"/>
  <c r="E20" i="48065"/>
  <c r="E24" i="48077"/>
  <c r="AA24" i="48079"/>
  <c r="AC24" i="48079" s="1"/>
  <c r="Q17" i="48065"/>
  <c r="Y17" i="48079"/>
  <c r="W24" i="48079"/>
  <c r="Y24" i="48079" s="1"/>
  <c r="U17" i="48075"/>
  <c r="U24" i="48042"/>
  <c r="H22" i="48068"/>
  <c r="K22" i="48068"/>
  <c r="M22" i="48068"/>
  <c r="E22" i="48068"/>
  <c r="G22" i="48068"/>
  <c r="F22" i="48068" s="1"/>
  <c r="F24" i="48077"/>
  <c r="T18" i="48077"/>
  <c r="X20" i="48042"/>
  <c r="X62" i="48042"/>
  <c r="R24" i="48065"/>
  <c r="M59" i="48068"/>
  <c r="N59" i="48068"/>
  <c r="AC17" i="48080"/>
  <c r="AA24" i="48080"/>
  <c r="AC24" i="48080" s="1"/>
  <c r="M57" i="48068"/>
  <c r="L63" i="48068"/>
  <c r="H20" i="48065"/>
  <c r="K20" i="48065"/>
  <c r="K24" i="48065" s="1"/>
  <c r="M20" i="48065"/>
  <c r="G20" i="48065"/>
  <c r="F20" i="48065"/>
  <c r="Y17" i="48080"/>
  <c r="X20" i="48078"/>
  <c r="T17" i="48042"/>
  <c r="R24" i="48042"/>
  <c r="T62" i="48065"/>
  <c r="Q21" i="48068"/>
  <c r="U24" i="48078"/>
  <c r="K22" i="48065"/>
  <c r="M22" i="48065"/>
  <c r="H22" i="48065"/>
  <c r="G22" i="48065"/>
  <c r="F22" i="48065" s="1"/>
  <c r="S63" i="48075"/>
  <c r="Q63" i="48075"/>
  <c r="X22" i="48078"/>
  <c r="R24" i="48075"/>
  <c r="E62" i="48065"/>
  <c r="E24" i="48080"/>
  <c r="M19" i="48068"/>
  <c r="M20" i="48068"/>
  <c r="E51" i="48082"/>
  <c r="E50" i="48082"/>
  <c r="E49" i="48082"/>
  <c r="H49" i="48082"/>
  <c r="H22" i="48082"/>
  <c r="F17" i="48082"/>
  <c r="Y17" i="48082"/>
  <c r="W24" i="48082"/>
  <c r="F18" i="48082"/>
  <c r="E21" i="48082"/>
  <c r="L24" i="48082"/>
  <c r="M22" i="48082"/>
  <c r="AA24" i="48082"/>
  <c r="AC24" i="48082" s="1"/>
  <c r="AC17" i="48082"/>
  <c r="F21" i="48082"/>
  <c r="F22" i="48082"/>
  <c r="U24" i="48082"/>
  <c r="U23" i="48082"/>
  <c r="T24" i="48082"/>
  <c r="E18" i="48082"/>
  <c r="F20" i="48082"/>
  <c r="AC23" i="48082"/>
  <c r="E62" i="48082"/>
  <c r="F49" i="48082"/>
  <c r="AE49" i="48082"/>
  <c r="F50" i="48082"/>
  <c r="AE50" i="48082"/>
  <c r="F51" i="48082"/>
  <c r="AE51" i="48082"/>
  <c r="F52" i="48082"/>
  <c r="AE52" i="48082"/>
  <c r="AE53" i="48082"/>
  <c r="F54" i="48082"/>
  <c r="AE54" i="48082"/>
  <c r="F55" i="48082"/>
  <c r="AE55" i="48082"/>
  <c r="F56" i="48082"/>
  <c r="AE56" i="48082"/>
  <c r="AE57" i="48082"/>
  <c r="F58" i="48082"/>
  <c r="AE58" i="48082"/>
  <c r="F59" i="48082"/>
  <c r="AE59" i="48082"/>
  <c r="F60" i="48082"/>
  <c r="AE60" i="48082"/>
  <c r="AE61" i="48082"/>
  <c r="C62" i="48082"/>
  <c r="G62" i="48082" s="1"/>
  <c r="F62" i="48082"/>
  <c r="AB49" i="48082"/>
  <c r="H50" i="48082"/>
  <c r="AB50" i="48082"/>
  <c r="H51" i="48082"/>
  <c r="AB51" i="48082"/>
  <c r="H52" i="48082"/>
  <c r="AB52" i="48082"/>
  <c r="H53" i="48082"/>
  <c r="AB53" i="48082"/>
  <c r="H54" i="48082"/>
  <c r="AB54" i="48082"/>
  <c r="H55" i="48082"/>
  <c r="AB55" i="48082"/>
  <c r="H56" i="48082"/>
  <c r="AB56" i="48082"/>
  <c r="H57" i="48082"/>
  <c r="AB57" i="48082"/>
  <c r="H58" i="48082"/>
  <c r="AB58" i="48082"/>
  <c r="H59" i="48082"/>
  <c r="AB59" i="48082"/>
  <c r="AB60" i="48082"/>
  <c r="AB61" i="48082"/>
  <c r="W62" i="48082"/>
  <c r="Y62" i="48082" s="1"/>
  <c r="AE62" i="48082"/>
  <c r="AH49" i="48082"/>
  <c r="AH62" i="48082" s="1"/>
  <c r="AB62" i="48082"/>
  <c r="F24" i="48065" l="1"/>
  <c r="N63" i="48068"/>
  <c r="AD62" i="48077"/>
  <c r="E62" i="48078"/>
  <c r="T20" i="48076"/>
  <c r="E62" i="48042"/>
  <c r="G62" i="48079"/>
  <c r="F62" i="48079" s="1"/>
  <c r="D24" i="48078"/>
  <c r="E24" i="48078" s="1"/>
  <c r="K63" i="48068"/>
  <c r="M63" i="48068" s="1"/>
  <c r="U18" i="48075"/>
  <c r="M18" i="48065"/>
  <c r="N55" i="48065"/>
  <c r="N62" i="48065" s="1"/>
  <c r="M55" i="48065"/>
  <c r="M56" i="48068"/>
  <c r="F19" i="48042"/>
  <c r="H19" i="48042"/>
  <c r="M51" i="48065"/>
  <c r="M53" i="48068"/>
  <c r="M19" i="48075"/>
  <c r="M21" i="48075"/>
  <c r="M23" i="48075"/>
  <c r="N61" i="48075"/>
  <c r="W24" i="48080"/>
  <c r="Y24" i="48080" s="1"/>
  <c r="F63" i="48068"/>
  <c r="L17" i="48065"/>
  <c r="D24" i="48065"/>
  <c r="E24" i="48065" s="1"/>
  <c r="M19" i="48065"/>
  <c r="N59" i="48075"/>
  <c r="F18" i="48042"/>
  <c r="E18" i="48042"/>
  <c r="H18" i="48042"/>
  <c r="M18" i="48075"/>
  <c r="E20" i="48075"/>
  <c r="L20" i="48075"/>
  <c r="F22" i="48042"/>
  <c r="E22" i="48042"/>
  <c r="H22" i="48042"/>
  <c r="E63" i="48075"/>
  <c r="H20" i="48076"/>
  <c r="M50" i="48068"/>
  <c r="AA23" i="48081"/>
  <c r="AC23" i="48081" s="1"/>
  <c r="AD23" i="48083"/>
  <c r="AA21" i="48081"/>
  <c r="AC21" i="48081" s="1"/>
  <c r="AD21" i="48083"/>
  <c r="AF21" i="48083" s="1"/>
  <c r="S21" i="48042"/>
  <c r="V23" i="48081"/>
  <c r="Y23" i="48083"/>
  <c r="V23" i="48082"/>
  <c r="Y21" i="48083"/>
  <c r="V21" i="48082"/>
  <c r="V21" i="48081"/>
  <c r="V21" i="48080"/>
  <c r="V24" i="48080" s="1"/>
  <c r="V18" i="48082"/>
  <c r="Y18" i="48083"/>
  <c r="V18" i="48081"/>
  <c r="Q18" i="48078"/>
  <c r="Q24" i="48078" s="1"/>
  <c r="Z22" i="48083"/>
  <c r="AB22" i="48083" s="1"/>
  <c r="W22" i="48081"/>
  <c r="Y22" i="48081" s="1"/>
  <c r="Z20" i="48083"/>
  <c r="AB20" i="48083" s="1"/>
  <c r="W20" i="48081"/>
  <c r="Y20" i="48081" s="1"/>
  <c r="G53" i="48042"/>
  <c r="F53" i="48042" s="1"/>
  <c r="F20" i="48076"/>
  <c r="F24" i="48076" s="1"/>
  <c r="W21" i="48077"/>
  <c r="W24" i="48077" s="1"/>
  <c r="X24" i="48077" s="1"/>
  <c r="AD19" i="48083"/>
  <c r="AF19" i="48083" s="1"/>
  <c r="AA19" i="48081"/>
  <c r="AC19" i="48081" s="1"/>
  <c r="V21" i="48078"/>
  <c r="S22" i="48042"/>
  <c r="T22" i="48042" s="1"/>
  <c r="V20" i="48081"/>
  <c r="Y20" i="48083"/>
  <c r="V20" i="48082"/>
  <c r="Z23" i="48083"/>
  <c r="W23" i="48081"/>
  <c r="Y23" i="48081" s="1"/>
  <c r="W21" i="48081"/>
  <c r="Y21" i="48081" s="1"/>
  <c r="Z21" i="48083"/>
  <c r="AB21" i="48083" s="1"/>
  <c r="Z19" i="48083"/>
  <c r="AB19" i="48083" s="1"/>
  <c r="W19" i="48081"/>
  <c r="Y19" i="48081" s="1"/>
  <c r="W17" i="48081"/>
  <c r="Z17" i="48083"/>
  <c r="O20" i="48068"/>
  <c r="T62" i="48076"/>
  <c r="U49" i="48076"/>
  <c r="AC55" i="48076"/>
  <c r="AA18" i="48081"/>
  <c r="AC18" i="48081" s="1"/>
  <c r="AD18" i="48083"/>
  <c r="AF18" i="48083" s="1"/>
  <c r="S21" i="48075"/>
  <c r="S22" i="48076"/>
  <c r="T22" i="48076" s="1"/>
  <c r="Y22" i="48083"/>
  <c r="V22" i="48081"/>
  <c r="V22" i="48082"/>
  <c r="Y17" i="48083"/>
  <c r="V17" i="48082"/>
  <c r="V17" i="48081"/>
  <c r="V24" i="48081" s="1"/>
  <c r="O22" i="48065"/>
  <c r="O21" i="48065"/>
  <c r="L54" i="48075"/>
  <c r="M19" i="48042"/>
  <c r="N62" i="48076"/>
  <c r="AA22" i="48081"/>
  <c r="AC22" i="48081" s="1"/>
  <c r="AD22" i="48083"/>
  <c r="AF22" i="48083" s="1"/>
  <c r="AD20" i="48083"/>
  <c r="AF20" i="48083" s="1"/>
  <c r="AA20" i="48081"/>
  <c r="AC20" i="48081" s="1"/>
  <c r="AA17" i="48081"/>
  <c r="AD17" i="48083"/>
  <c r="AF17" i="48083" s="1"/>
  <c r="V17" i="48076"/>
  <c r="AA18" i="48083"/>
  <c r="AA24" i="48083" s="1"/>
  <c r="X18" i="48081"/>
  <c r="X24" i="48081" s="1"/>
  <c r="X18" i="48082"/>
  <c r="V19" i="48082"/>
  <c r="V19" i="48081"/>
  <c r="Y19" i="48083"/>
  <c r="Z18" i="48083"/>
  <c r="W18" i="48081"/>
  <c r="Y18" i="48081" s="1"/>
  <c r="O22" i="48075"/>
  <c r="Q22" i="48075" s="1"/>
  <c r="O23" i="48065"/>
  <c r="Q23" i="48065" s="1"/>
  <c r="O23" i="48068"/>
  <c r="Q23" i="48068" s="1"/>
  <c r="O18" i="48075"/>
  <c r="P22" i="48065"/>
  <c r="P24" i="48065" s="1"/>
  <c r="L24" i="48042"/>
  <c r="M24" i="48042" s="1"/>
  <c r="H52" i="48076"/>
  <c r="G55" i="48076"/>
  <c r="F55" i="48076" s="1"/>
  <c r="E18" i="48076"/>
  <c r="E19" i="48077"/>
  <c r="H22" i="48077"/>
  <c r="H58" i="48077"/>
  <c r="M18" i="48077"/>
  <c r="AD61" i="48078"/>
  <c r="AD62" i="48078" s="1"/>
  <c r="G20" i="48078"/>
  <c r="F20" i="48078" s="1"/>
  <c r="F24" i="48078" s="1"/>
  <c r="G58" i="48078"/>
  <c r="F58" i="48078" s="1"/>
  <c r="H60" i="48078"/>
  <c r="AH52" i="48079"/>
  <c r="AH62" i="48079" s="1"/>
  <c r="AH55" i="48079"/>
  <c r="G58" i="48079"/>
  <c r="F58" i="48079" s="1"/>
  <c r="G50" i="48080"/>
  <c r="F50" i="48080" s="1"/>
  <c r="G53" i="48080"/>
  <c r="F53" i="48080" s="1"/>
  <c r="AE55" i="48080"/>
  <c r="G56" i="48081"/>
  <c r="F56" i="48081" s="1"/>
  <c r="H56" i="48081"/>
  <c r="G56" i="48080"/>
  <c r="F56" i="48080" s="1"/>
  <c r="G21" i="48081"/>
  <c r="F21" i="48081" s="1"/>
  <c r="F24" i="48081" s="1"/>
  <c r="H21" i="48081"/>
  <c r="G54" i="48081"/>
  <c r="F54" i="48081" s="1"/>
  <c r="H54" i="48081"/>
  <c r="AH53" i="48081"/>
  <c r="AH62" i="48081" s="1"/>
  <c r="AG53" i="48081"/>
  <c r="O24" i="48082"/>
  <c r="Q24" i="48082" s="1"/>
  <c r="Q23" i="48082"/>
  <c r="M23" i="48078"/>
  <c r="G55" i="48078"/>
  <c r="F55" i="48078" s="1"/>
  <c r="AG49" i="48079"/>
  <c r="E55" i="48080"/>
  <c r="Q62" i="48080"/>
  <c r="Y55" i="48080"/>
  <c r="Y59" i="48080"/>
  <c r="AA59" i="48080"/>
  <c r="Q24" i="48081"/>
  <c r="G49" i="48081"/>
  <c r="F49" i="48081" s="1"/>
  <c r="C62" i="48081"/>
  <c r="G62" i="48081" s="1"/>
  <c r="F62" i="48081" s="1"/>
  <c r="W62" i="48081"/>
  <c r="Y62" i="48081" s="1"/>
  <c r="AB49" i="48081"/>
  <c r="AB62" i="48081" s="1"/>
  <c r="E54" i="48081"/>
  <c r="E59" i="48081"/>
  <c r="D19" i="48082"/>
  <c r="AF62" i="48082"/>
  <c r="AG62" i="48082" s="1"/>
  <c r="G59" i="48077"/>
  <c r="F59" i="48077" s="1"/>
  <c r="L24" i="48078"/>
  <c r="M24" i="48078" s="1"/>
  <c r="L24" i="48079"/>
  <c r="M24" i="48079" s="1"/>
  <c r="F57" i="48080"/>
  <c r="AB57" i="48080"/>
  <c r="AB62" i="48080" s="1"/>
  <c r="Z62" i="48081"/>
  <c r="AA62" i="48081" s="1"/>
  <c r="G52" i="48081"/>
  <c r="F52" i="48081" s="1"/>
  <c r="H52" i="48081"/>
  <c r="AE53" i="48081"/>
  <c r="G58" i="48081"/>
  <c r="F58" i="48081" s="1"/>
  <c r="H58" i="48081"/>
  <c r="AG59" i="48081"/>
  <c r="AE59" i="48081"/>
  <c r="C23" i="48082"/>
  <c r="M23" i="48082"/>
  <c r="K24" i="48082"/>
  <c r="M24" i="48082" s="1"/>
  <c r="Z62" i="48082"/>
  <c r="AA62" i="48082" s="1"/>
  <c r="N62" i="48082"/>
  <c r="G61" i="48082"/>
  <c r="F61" i="48082" s="1"/>
  <c r="G57" i="48082"/>
  <c r="F57" i="48082" s="1"/>
  <c r="G53" i="48082"/>
  <c r="F53" i="48082" s="1"/>
  <c r="AJ49" i="48083"/>
  <c r="AK52" i="48083"/>
  <c r="AJ53" i="48083"/>
  <c r="AJ54" i="48083"/>
  <c r="AK56" i="48083"/>
  <c r="AJ57" i="48083"/>
  <c r="AH51" i="48083"/>
  <c r="AB52" i="48083"/>
  <c r="AD56" i="48083"/>
  <c r="AK57" i="48083"/>
  <c r="AB58" i="48083"/>
  <c r="T23" i="48083"/>
  <c r="AK53" i="48083"/>
  <c r="AE56" i="48083"/>
  <c r="AJ56" i="48083"/>
  <c r="AK60" i="48083"/>
  <c r="H20" i="48083"/>
  <c r="P24" i="48083"/>
  <c r="AB23" i="48083"/>
  <c r="U62" i="48083"/>
  <c r="AE54" i="48083"/>
  <c r="AJ58" i="48083"/>
  <c r="AB60" i="48083"/>
  <c r="AK61" i="48083"/>
  <c r="K24" i="48083"/>
  <c r="AE50" i="48083"/>
  <c r="AE51" i="48083"/>
  <c r="AH59" i="48083"/>
  <c r="M20" i="48083"/>
  <c r="F22" i="48083"/>
  <c r="AC62" i="48083"/>
  <c r="AB50" i="48083"/>
  <c r="AJ50" i="48083"/>
  <c r="AB53" i="48083"/>
  <c r="AH55" i="48083"/>
  <c r="AB59" i="48083"/>
  <c r="L24" i="48083"/>
  <c r="M24" i="48083" s="1"/>
  <c r="D23" i="48083"/>
  <c r="D24" i="48083" s="1"/>
  <c r="F20" i="48083"/>
  <c r="Q62" i="48083"/>
  <c r="Y62" i="48083"/>
  <c r="AK49" i="48083"/>
  <c r="AJ52" i="48083"/>
  <c r="AE55" i="48083"/>
  <c r="AE57" i="48083"/>
  <c r="AE60" i="48083"/>
  <c r="AJ60" i="48083"/>
  <c r="AD61" i="48083"/>
  <c r="M22" i="48083"/>
  <c r="M23" i="48083"/>
  <c r="M62" i="48083"/>
  <c r="AB51" i="48083"/>
  <c r="AD24" i="48083"/>
  <c r="AA62" i="48083"/>
  <c r="AD62" i="48083" s="1"/>
  <c r="AH49" i="48083"/>
  <c r="AK50" i="48083"/>
  <c r="AJ51" i="48083"/>
  <c r="AE53" i="48083"/>
  <c r="AH53" i="48083"/>
  <c r="AK54" i="48083"/>
  <c r="AJ55" i="48083"/>
  <c r="AB56" i="48083"/>
  <c r="AD57" i="48083"/>
  <c r="AH57" i="48083"/>
  <c r="AE58" i="48083"/>
  <c r="AK58" i="48083"/>
  <c r="AD59" i="48083"/>
  <c r="AJ59" i="48083"/>
  <c r="AB61" i="48083"/>
  <c r="Z62" i="48083"/>
  <c r="AE52" i="48083"/>
  <c r="AB55" i="48083"/>
  <c r="AB18" i="48083"/>
  <c r="AF23" i="48083"/>
  <c r="AB49" i="48083"/>
  <c r="AI62" i="48083"/>
  <c r="AK51" i="48083"/>
  <c r="AK55" i="48083"/>
  <c r="AB57" i="48083"/>
  <c r="AD58" i="48083"/>
  <c r="AE59" i="48083"/>
  <c r="AK59" i="48083"/>
  <c r="AD60" i="48083"/>
  <c r="AG62" i="48083"/>
  <c r="R24" i="48083"/>
  <c r="T24" i="48083" s="1"/>
  <c r="T18" i="48083"/>
  <c r="Y24" i="48083"/>
  <c r="E18" i="48083"/>
  <c r="H18" i="48083"/>
  <c r="AB62" i="48083"/>
  <c r="Z24" i="48083"/>
  <c r="AB24" i="48083" s="1"/>
  <c r="AB17" i="48083"/>
  <c r="E22" i="48083"/>
  <c r="H22" i="48083"/>
  <c r="P23" i="48083"/>
  <c r="W24" i="48083"/>
  <c r="X24" i="48083" s="1"/>
  <c r="AH52" i="48083"/>
  <c r="AH56" i="48083"/>
  <c r="AH60" i="48083"/>
  <c r="AJ61" i="48083"/>
  <c r="AH61" i="48083"/>
  <c r="AF62" i="48083"/>
  <c r="G18" i="48083"/>
  <c r="F18" i="48083" s="1"/>
  <c r="AE24" i="48083"/>
  <c r="AH50" i="48083"/>
  <c r="AH54" i="48083"/>
  <c r="AH58" i="48083"/>
  <c r="AJ62" i="48083"/>
  <c r="G17" i="48083"/>
  <c r="F17" i="48083" s="1"/>
  <c r="AD49" i="48083"/>
  <c r="AD50" i="48083"/>
  <c r="AD51" i="48083"/>
  <c r="AD52" i="48083"/>
  <c r="AD53" i="48083"/>
  <c r="AD54" i="48083"/>
  <c r="AD55" i="48083"/>
  <c r="G57" i="48083"/>
  <c r="F57" i="48083" s="1"/>
  <c r="G58" i="48083"/>
  <c r="F58" i="48083" s="1"/>
  <c r="G59" i="48083"/>
  <c r="F59" i="48083" s="1"/>
  <c r="G60" i="48083"/>
  <c r="F60" i="48083" s="1"/>
  <c r="D62" i="48083"/>
  <c r="E62" i="48083" s="1"/>
  <c r="H17" i="48083"/>
  <c r="AE49" i="48083"/>
  <c r="Q22" i="48065" l="1"/>
  <c r="U21" i="48075"/>
  <c r="S24" i="48075"/>
  <c r="U24" i="48075" s="1"/>
  <c r="Y17" i="48081"/>
  <c r="W24" i="48081"/>
  <c r="Y24" i="48081" s="1"/>
  <c r="T21" i="48042"/>
  <c r="S24" i="48042"/>
  <c r="T24" i="48042" s="1"/>
  <c r="F24" i="48042"/>
  <c r="M17" i="48065"/>
  <c r="L24" i="48065"/>
  <c r="M24" i="48065" s="1"/>
  <c r="X21" i="48077"/>
  <c r="S24" i="48076"/>
  <c r="T24" i="48076" s="1"/>
  <c r="F19" i="48082"/>
  <c r="E19" i="48082"/>
  <c r="D24" i="48082"/>
  <c r="Q18" i="48075"/>
  <c r="O24" i="48075"/>
  <c r="Q24" i="48075" s="1"/>
  <c r="X17" i="48076"/>
  <c r="V24" i="48076"/>
  <c r="X24" i="48076" s="1"/>
  <c r="W62" i="48076"/>
  <c r="U62" i="48076"/>
  <c r="G23" i="48082"/>
  <c r="F23" i="48082" s="1"/>
  <c r="C24" i="48082"/>
  <c r="G24" i="48082" s="1"/>
  <c r="X24" i="48082"/>
  <c r="Y24" i="48082" s="1"/>
  <c r="Y18" i="48082"/>
  <c r="N54" i="48075"/>
  <c r="N63" i="48075" s="1"/>
  <c r="M54" i="48075"/>
  <c r="L63" i="48075"/>
  <c r="M63" i="48075" s="1"/>
  <c r="V24" i="48082"/>
  <c r="Q20" i="48068"/>
  <c r="O24" i="48068"/>
  <c r="Q24" i="48068" s="1"/>
  <c r="E23" i="48082"/>
  <c r="AC17" i="48081"/>
  <c r="AA24" i="48081"/>
  <c r="AC24" i="48081" s="1"/>
  <c r="Q21" i="48065"/>
  <c r="O24" i="48065"/>
  <c r="Q24" i="48065" s="1"/>
  <c r="X21" i="48078"/>
  <c r="V24" i="48078"/>
  <c r="X24" i="48078" s="1"/>
  <c r="M20" i="48075"/>
  <c r="L24" i="48075"/>
  <c r="M24" i="48075" s="1"/>
  <c r="E62" i="48081"/>
  <c r="AH62" i="48083"/>
  <c r="AF24" i="48083"/>
  <c r="AK62" i="48083"/>
  <c r="AE62" i="48083"/>
  <c r="G23" i="48083"/>
  <c r="F23" i="48083" s="1"/>
  <c r="F24" i="48083" s="1"/>
  <c r="H23" i="48083"/>
  <c r="E23" i="48083"/>
  <c r="C24" i="48083"/>
  <c r="G24" i="48083" s="1"/>
  <c r="F62" i="48083"/>
  <c r="E24" i="48082" l="1"/>
  <c r="F24" i="48082"/>
  <c r="E24" i="48083"/>
</calcChain>
</file>

<file path=xl/sharedStrings.xml><?xml version="1.0" encoding="utf-8"?>
<sst xmlns="http://schemas.openxmlformats.org/spreadsheetml/2006/main" count="1740" uniqueCount="267">
  <si>
    <t>LICENSE AND PERMITS</t>
  </si>
  <si>
    <t>FY 2009 Adopted</t>
  </si>
  <si>
    <t>Fees/Charges for Services</t>
  </si>
  <si>
    <t>Investment Revenue</t>
  </si>
  <si>
    <t>Fines</t>
  </si>
  <si>
    <t>Revenues</t>
  </si>
  <si>
    <t>OTHER FINANCING SOURCES</t>
  </si>
  <si>
    <t>PUBLIC FACILITIES</t>
  </si>
  <si>
    <t>CULTURE AND RECREATION</t>
  </si>
  <si>
    <t>EQUIPMENT SERVICES</t>
  </si>
  <si>
    <t>HEALTH AND WELFARE</t>
  </si>
  <si>
    <t>CONSERVATION</t>
  </si>
  <si>
    <t>UNCLASSIFIED</t>
  </si>
  <si>
    <t>25% of Budget Variance</t>
  </si>
  <si>
    <t>General Administration</t>
  </si>
  <si>
    <t>Financial Administration</t>
  </si>
  <si>
    <t>TAXES</t>
  </si>
  <si>
    <t>INTERGOVERNMENTAL REV</t>
  </si>
  <si>
    <t>INVESTMENT REVENUE</t>
  </si>
  <si>
    <t>OTHER REVENUE</t>
  </si>
  <si>
    <t>FEES/CHARGES FOR SERVICES</t>
  </si>
  <si>
    <t>INSURANCE/EMPLOYEE BENEFT</t>
  </si>
  <si>
    <t>FINES</t>
  </si>
  <si>
    <t>Budget &amp; Finance</t>
  </si>
  <si>
    <t>www.collincountytx.gov</t>
  </si>
  <si>
    <t xml:space="preserve">% of Budget </t>
  </si>
  <si>
    <t>Current / Delinquent Taxes</t>
  </si>
  <si>
    <t>Miscellaneous</t>
  </si>
  <si>
    <t>Total</t>
  </si>
  <si>
    <t>Conservation</t>
  </si>
  <si>
    <t>Equipment Services</t>
  </si>
  <si>
    <t>Judicial</t>
  </si>
  <si>
    <t>Legal</t>
  </si>
  <si>
    <t>Public Facilities</t>
  </si>
  <si>
    <t>Public Safety</t>
  </si>
  <si>
    <t>Transfers</t>
  </si>
  <si>
    <r>
      <t>To:</t>
    </r>
    <r>
      <rPr>
        <sz val="10"/>
        <rFont val="Arial"/>
        <family val="2"/>
      </rPr>
      <t xml:space="preserve"> </t>
    </r>
  </si>
  <si>
    <t>Collin County Judge, Commissioners and Bill Bilyeu</t>
  </si>
  <si>
    <r>
      <t>From:</t>
    </r>
    <r>
      <rPr>
        <sz val="10"/>
        <rFont val="Arial"/>
        <family val="2"/>
      </rPr>
      <t xml:space="preserve"> </t>
    </r>
  </si>
  <si>
    <r>
      <t>Date:</t>
    </r>
    <r>
      <rPr>
        <sz val="10"/>
        <rFont val="Arial"/>
        <family val="2"/>
      </rPr>
      <t xml:space="preserve"> </t>
    </r>
  </si>
  <si>
    <r>
      <t>Re:</t>
    </r>
    <r>
      <rPr>
        <sz val="10"/>
        <rFont val="Arial"/>
        <family val="2"/>
      </rPr>
      <t xml:space="preserve"> </t>
    </r>
  </si>
  <si>
    <t xml:space="preserve">            C O L L I N  C O U N T Y</t>
  </si>
  <si>
    <t>Remaining Collections</t>
  </si>
  <si>
    <t>Remaining Expenditures</t>
  </si>
  <si>
    <t>YTD Collections</t>
  </si>
  <si>
    <t>YTD Expenditures</t>
  </si>
  <si>
    <t>GENERAL ADMINISTRATION</t>
  </si>
  <si>
    <t>FINANCIAL ADMINISTRATION</t>
  </si>
  <si>
    <t>PUBLIC SAFETY</t>
  </si>
  <si>
    <t>JUDICIAL</t>
  </si>
  <si>
    <t>LEGAL</t>
  </si>
  <si>
    <t>Intergovernmental Revenue</t>
  </si>
  <si>
    <t>2300 Bloomdale Rd.</t>
  </si>
  <si>
    <t>Suite 4100</t>
  </si>
  <si>
    <t>McKinney, Texas 75071</t>
  </si>
  <si>
    <t>Basic Activity</t>
  </si>
  <si>
    <t>Sub Activity</t>
  </si>
  <si>
    <t>Fiscal Year</t>
  </si>
  <si>
    <t>Original Revenue Budget</t>
  </si>
  <si>
    <t>Actual Month 1</t>
  </si>
  <si>
    <t>Actual Month 2</t>
  </si>
  <si>
    <t>Actual Month 3</t>
  </si>
  <si>
    <t>Actual Month 4</t>
  </si>
  <si>
    <t>Actual Month 5</t>
  </si>
  <si>
    <t>Actual Month 6</t>
  </si>
  <si>
    <t>Actual Month 7</t>
  </si>
  <si>
    <t>Actual Month 8</t>
  </si>
  <si>
    <t>Actual Month 9</t>
  </si>
  <si>
    <t>Actual Month 10</t>
  </si>
  <si>
    <t>Actual Month 11</t>
  </si>
  <si>
    <t>Actual Month 12</t>
  </si>
  <si>
    <t>AD VALOREM</t>
  </si>
  <si>
    <t>BUSINESS LICENSE &amp; PERMIT</t>
  </si>
  <si>
    <t>NONBUSINESS LICENSE/PERMT</t>
  </si>
  <si>
    <t>FEDERAL GOV PROCEEDS</t>
  </si>
  <si>
    <t>PAYMENTS IN LIEU OF TAXES</t>
  </si>
  <si>
    <t>STATE GOV PROCEEDS</t>
  </si>
  <si>
    <t>STATE GOV SHARE REVENUES</t>
  </si>
  <si>
    <t>CHARGES FOR SERVICES</t>
  </si>
  <si>
    <t>COURT FEES</t>
  </si>
  <si>
    <t>FACILITIES SERVICES</t>
  </si>
  <si>
    <t>GENERAL GOVERNMENT FEES</t>
  </si>
  <si>
    <t>HEALTH FEES</t>
  </si>
  <si>
    <t>PUBLIC SAFETY FEES</t>
  </si>
  <si>
    <t>COURT</t>
  </si>
  <si>
    <t>INVESTMENT EARNINGS</t>
  </si>
  <si>
    <t>RENTAL REVENUE</t>
  </si>
  <si>
    <t>INSURANCE CLAIMS</t>
  </si>
  <si>
    <t>DONATIONS</t>
  </si>
  <si>
    <t>MISCELLANEOUS REVENUES</t>
  </si>
  <si>
    <t>PRIOR PERIOD ADJUSTMENT</t>
  </si>
  <si>
    <t>INTERFUND TRANSFERS IN</t>
  </si>
  <si>
    <t>PROCEEDS OF GEN F/A DISP</t>
  </si>
  <si>
    <t>Mónika Arris</t>
  </si>
  <si>
    <t>FY 2010 Adopted</t>
  </si>
  <si>
    <t>License / Permits</t>
  </si>
  <si>
    <t>Activity Basic Account</t>
  </si>
  <si>
    <t>Original Budget</t>
  </si>
  <si>
    <t>Revised Budget</t>
  </si>
  <si>
    <t>Actuals</t>
  </si>
  <si>
    <t>DEBT SERVICE</t>
  </si>
  <si>
    <t>PUBLIC TRANSPORTATION</t>
  </si>
  <si>
    <t>2010 YTD Collections</t>
  </si>
  <si>
    <t>2009 1st Quarter Collections</t>
  </si>
  <si>
    <t>FY 2008 Adopted</t>
  </si>
  <si>
    <t>2008 1st Quarter Collections</t>
  </si>
  <si>
    <t>2009 Actual</t>
  </si>
  <si>
    <t>2008 Actual</t>
  </si>
  <si>
    <t>2010 YTD</t>
  </si>
  <si>
    <t>2010 Remaining</t>
  </si>
  <si>
    <t>2009 1st Quarter Actuals</t>
  </si>
  <si>
    <t>2009 Adjusted</t>
  </si>
  <si>
    <t xml:space="preserve">2009 Remaining </t>
  </si>
  <si>
    <t>2008 1st Quarter Actuals</t>
  </si>
  <si>
    <t>2008 Adjusted</t>
  </si>
  <si>
    <t>2008 Remaining</t>
  </si>
  <si>
    <t>Culture And Recreation</t>
  </si>
  <si>
    <t>Health And Welfare</t>
  </si>
  <si>
    <t>LOCAL GOV PROCEEDS</t>
  </si>
  <si>
    <t>TRANSPORTATION</t>
  </si>
  <si>
    <t>EMPLOYEE BENEFITS</t>
  </si>
  <si>
    <t>INSURANCE PREMIUMS</t>
  </si>
  <si>
    <t>NON-GOVERNMENTAL GRANT</t>
  </si>
  <si>
    <t>SEIZED ASSETS</t>
  </si>
  <si>
    <t>CAPITAL CONTRIBUTIONS</t>
  </si>
  <si>
    <t>CAPITAL GAIN</t>
  </si>
  <si>
    <t>DEBT PROCEEDS</t>
  </si>
  <si>
    <t>Combined Funds Revenue by Source</t>
  </si>
  <si>
    <t>LOCAL GOVERNMENTS</t>
  </si>
  <si>
    <t>GOVERNMENT PROCEEDS</t>
  </si>
  <si>
    <t>Combined Funds Expenditures by Function Area</t>
  </si>
  <si>
    <t>Debt Service</t>
  </si>
  <si>
    <t>Public Transportation</t>
  </si>
  <si>
    <t>FY 2010 2nd Quarter Report – Collin County Combined Funds</t>
  </si>
  <si>
    <t>50% of Budget Variance</t>
  </si>
  <si>
    <t>2009 2nd Quarter Collections</t>
  </si>
  <si>
    <t>2008 2nd Quarter Collections</t>
  </si>
  <si>
    <t>2009 2nd Quarter Actuals</t>
  </si>
  <si>
    <t>2008 2nd Quarter Actuals</t>
  </si>
  <si>
    <t>FY 2010 3rd Quarter Report – Collin County Combined Funds</t>
  </si>
  <si>
    <t>2009 3rd Quarter Collections</t>
  </si>
  <si>
    <t>75% of Budget Variance</t>
  </si>
  <si>
    <t>2009 3rd Quarter Actuals</t>
  </si>
  <si>
    <t>2008 3rd Quarter Actuals</t>
  </si>
  <si>
    <t>2008 3rd Quarter Collections</t>
  </si>
  <si>
    <t>FY 2010 4th Quarter Report – Collin County Combined Funds</t>
  </si>
  <si>
    <t xml:space="preserve"> Budget Variance</t>
  </si>
  <si>
    <t>2009 4th Quarter Collections</t>
  </si>
  <si>
    <t>2008 4th Quarter Collections</t>
  </si>
  <si>
    <t>2009 4th Quarter Actuals</t>
  </si>
  <si>
    <t>2008 4th Quarter Actuals</t>
  </si>
  <si>
    <t>FY 2011 Adopted</t>
  </si>
  <si>
    <t>2011 YTD Collections</t>
  </si>
  <si>
    <t>FY 2011 1st Quarter Report – Collin County Combined Funds</t>
  </si>
  <si>
    <t>YTD Collections as of 1/15/11</t>
  </si>
  <si>
    <t>2011 YTD</t>
  </si>
  <si>
    <t>2011 Remaining</t>
  </si>
  <si>
    <t>YTD Expenditures as of 1/15/11</t>
  </si>
  <si>
    <t>FY 2011 2nd Quarter Report – Collin County Combined Funds</t>
  </si>
  <si>
    <t>YTD Collections as of 4/15/11</t>
  </si>
  <si>
    <t>2008 2nd Quarter  YTD Collections</t>
  </si>
  <si>
    <t>2009 2nd Quarter  YTD Collections</t>
  </si>
  <si>
    <t>2010 2nd Quarter  YTD Collections</t>
  </si>
  <si>
    <t>YTD Expenditures as 4f 4/15/11</t>
  </si>
  <si>
    <t>2008 2nd Quarter ytd  Actuals</t>
  </si>
  <si>
    <t>2009 2nd Quarter ytd  Actuals</t>
  </si>
  <si>
    <t>2010 2nd Quarter ytd  Actuals</t>
  </si>
  <si>
    <t>YTD Collections as of 7/15/11</t>
  </si>
  <si>
    <t>2010 3rd Quarter  YTD Collections</t>
  </si>
  <si>
    <t>2009 3rd Quarter  YTD Collections</t>
  </si>
  <si>
    <t>2008 3rd Quarter  YTD Collections</t>
  </si>
  <si>
    <t>FY 2011 3rd Quarter Report – Collin County Combined Funds (Excluding Bond Funds)</t>
  </si>
  <si>
    <t>Combined Funds Revenue by Source (Excluding Bond Funds)</t>
  </si>
  <si>
    <t>Combined Funds Expenditures by Function Area (Excluding Bond Funds)</t>
  </si>
  <si>
    <t>YTD Expenditures as of 7/15/11</t>
  </si>
  <si>
    <t>2010 3rd Quarter ytd  Actuals</t>
  </si>
  <si>
    <t>2009 3rd Quarter ytd  Actuals</t>
  </si>
  <si>
    <t>2008 3rd Quarter ytd  Actuals</t>
  </si>
  <si>
    <t>75% of Budget Variance F/(U)</t>
  </si>
  <si>
    <t>FY 2011 4th Quarter Report – Collin County Combined Funds (Excluding Bond Funds)</t>
  </si>
  <si>
    <t>YTD Collections as of 10/15/11</t>
  </si>
  <si>
    <t>100% of Budget Variance F/(U)</t>
  </si>
  <si>
    <t>YTD Expenditures as of 10/15/11</t>
  </si>
  <si>
    <t>2010 4th Quarter  YTD Collections</t>
  </si>
  <si>
    <t>2009 4th Quarter  YTD Collections</t>
  </si>
  <si>
    <t>2008 4th Quarter  YTD Collections</t>
  </si>
  <si>
    <t>2010 4th Quarter ytd  Actuals</t>
  </si>
  <si>
    <t>2009 4th Quarter ytd  Actuals</t>
  </si>
  <si>
    <t>2008 4th Quarter ytd  Actuals</t>
  </si>
  <si>
    <t>General Administration*</t>
  </si>
  <si>
    <t>*$35 Million additional paid to TCDRS in FY2011.</t>
  </si>
  <si>
    <t>Transfers/Unclassified</t>
  </si>
  <si>
    <t>2011 Actual</t>
  </si>
  <si>
    <t>2010 Actual</t>
  </si>
  <si>
    <t>2010 1st Qtr Collections</t>
  </si>
  <si>
    <t>2011 1st Qtr Collections</t>
  </si>
  <si>
    <t>FY 2012 Adopted</t>
  </si>
  <si>
    <t>2012 1st Qtr Collections</t>
  </si>
  <si>
    <t>FY 2012 1st Quarter Report – Collin County Combined Funds (Excluding Bond Funds)</t>
  </si>
  <si>
    <t>YTD Collections as of 1/15/12</t>
  </si>
  <si>
    <t>YTD Expenditures as of 1/15/12</t>
  </si>
  <si>
    <t>2012 Remaining</t>
  </si>
  <si>
    <t>2012 1st Qtr</t>
  </si>
  <si>
    <t>2011 1st Qtr</t>
  </si>
  <si>
    <t>2010 1st Qtr</t>
  </si>
  <si>
    <t>Gen Admin</t>
  </si>
  <si>
    <t>FY 2012 2nd Quarter Report – Collin County Combined Funds (Excluding Bond Funds)</t>
  </si>
  <si>
    <t>YTD Collections as of 4/15/12</t>
  </si>
  <si>
    <t>YTD Expenditures as of 4/15/12</t>
  </si>
  <si>
    <t>2012 2nd Qtr Collections</t>
  </si>
  <si>
    <t>2011 2nd Qtr Collections</t>
  </si>
  <si>
    <t>2010 2nd Qtr Collections</t>
  </si>
  <si>
    <t>2012 2nd Qtr</t>
  </si>
  <si>
    <t>2011 2nd Qtr</t>
  </si>
  <si>
    <t>2010 2nd Qtr</t>
  </si>
  <si>
    <t>FY 2012 3rd Quarter Report – Collin County Combined Funds (Excluding Bond Funds)</t>
  </si>
  <si>
    <t>YTD Collections as of 7/15/12</t>
  </si>
  <si>
    <t>YTD Expenditures as of 7/15/12</t>
  </si>
  <si>
    <t>2012 3rd Qtr Collections</t>
  </si>
  <si>
    <t>2011 3rd Qtr Collections</t>
  </si>
  <si>
    <t>2010 3rd Qtr Collections</t>
  </si>
  <si>
    <t>2008 3rd  Quarter Collections</t>
  </si>
  <si>
    <t>2012 3rd Qtr</t>
  </si>
  <si>
    <t>2011 3rd Qtr</t>
  </si>
  <si>
    <t>2010 3rd Qtr</t>
  </si>
  <si>
    <t>FY 2012 4th Quarter Report – Collin County Combined Funds (Excluding Bond Funds)</t>
  </si>
  <si>
    <t>YTD Collections as of 10/08/12</t>
  </si>
  <si>
    <t>YTD Expenditures as of 10/08/12</t>
  </si>
  <si>
    <t>Budget Variance</t>
  </si>
  <si>
    <t>2012 4th Qtr Collections</t>
  </si>
  <si>
    <t>2011 4th Qtr Collections</t>
  </si>
  <si>
    <t>2010 4th Qtr Collections</t>
  </si>
  <si>
    <t>2008 4th  Quarter Collections</t>
  </si>
  <si>
    <t>2012 4th Qtr</t>
  </si>
  <si>
    <t>2011 4th Qtr</t>
  </si>
  <si>
    <t>2010 4th Qtr</t>
  </si>
  <si>
    <t>2009  4th Quarter Actuals</t>
  </si>
  <si>
    <t>FY 2013 1st Quarter Report – Collin County Combined Funds (Excluding Bond Funds)</t>
  </si>
  <si>
    <t>FY 2013 Adopted</t>
  </si>
  <si>
    <t>YTD Collections as of 1/15/13</t>
  </si>
  <si>
    <t xml:space="preserve"> Variance to 25% of Budget</t>
  </si>
  <si>
    <t>2013 1st Qtr Collections</t>
  </si>
  <si>
    <t>2013 1st Qtr</t>
  </si>
  <si>
    <t>YTD Expenditures as of 1/15/13</t>
  </si>
  <si>
    <r>
      <t>To:</t>
    </r>
    <r>
      <rPr>
        <sz val="12"/>
        <rFont val="Calibri"/>
        <family val="2"/>
        <scheme val="minor"/>
      </rPr>
      <t xml:space="preserve"> </t>
    </r>
  </si>
  <si>
    <r>
      <t>From:</t>
    </r>
    <r>
      <rPr>
        <sz val="12"/>
        <rFont val="Calibri"/>
        <family val="2"/>
        <scheme val="minor"/>
      </rPr>
      <t xml:space="preserve"> </t>
    </r>
  </si>
  <si>
    <r>
      <t>Date:</t>
    </r>
    <r>
      <rPr>
        <sz val="12"/>
        <rFont val="Calibri"/>
        <family val="2"/>
        <scheme val="minor"/>
      </rPr>
      <t xml:space="preserve"> </t>
    </r>
  </si>
  <si>
    <r>
      <t>Re:</t>
    </r>
    <r>
      <rPr>
        <sz val="12"/>
        <rFont val="Calibri"/>
        <family val="2"/>
        <scheme val="minor"/>
      </rPr>
      <t xml:space="preserve"> </t>
    </r>
  </si>
  <si>
    <t>FY 2013 2nd Quarter Report – Collin County Combined Funds (Excluding Bond Funds)</t>
  </si>
  <si>
    <t>2013 2nd Qtr Collections</t>
  </si>
  <si>
    <t>YTD Collections as of 4/15/13</t>
  </si>
  <si>
    <t>Misc., Transfers, Ins.</t>
  </si>
  <si>
    <t>2013 2nd Qtr</t>
  </si>
  <si>
    <t>YTD Expenditures as of 4/15/13</t>
  </si>
  <si>
    <t xml:space="preserve"> Variance to 50% of Budget</t>
  </si>
  <si>
    <t>Unclassified</t>
  </si>
  <si>
    <t>FY 2013 3rd Quarter Report – Collin County Combined Funds (Excluding Bond Funds)</t>
  </si>
  <si>
    <t>YTD Collections as of 7/15/13</t>
  </si>
  <si>
    <t xml:space="preserve"> Variance to 75% of Budget</t>
  </si>
  <si>
    <t>2013 3rd Qtr Collections</t>
  </si>
  <si>
    <t>YTD Expenditures as of 7/15/13</t>
  </si>
  <si>
    <t>FY 2013 4th Quarter Report – Collin County Combined Funds (Excluding Bond Funds)</t>
  </si>
  <si>
    <t>YTD Collections as of 10/7/13</t>
  </si>
  <si>
    <t xml:space="preserve"> Variance to 100% of Budget</t>
  </si>
  <si>
    <t>2013 4th Qtr Collections</t>
  </si>
  <si>
    <t>YTD Expenditures as of 10/7/13</t>
  </si>
  <si>
    <t>2013 4th Qtr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</si>
</sst>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;\-0"/>
    <numFmt numFmtId="166" formatCode="_(* #,##0_);_(* \(#,##0\);_(* &quot;-&quot;??_);_(@_)"/>
    <numFmt numFmtId="167" formatCode="_(&quot;$&quot;* #,##0_);_(&quot;$&quot;* \(#,##0\);_(&quot;$&quot;* &quot;-&quot;??_);_(@_)"/>
    <numFmt numFmtId="168" formatCode=";;;@"/>
    <numFmt numFmtId="169" formatCode="&quot;$&quot;#,##0.00_);\(&quot;$&quot;#,##0.00\);&quot;$&quot;0.00_)"/>
  </numFmts>
  <fonts count="23">
    <font>
      <sz val="12"/>
      <name val="Times New Roman"/>
    </font>
    <font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8"/>
      <name val="Franklin Gothic Demi"/>
      <family val="2"/>
    </font>
    <font>
      <sz val="11"/>
      <name val="Franklin Gothic Book"/>
      <family val="2"/>
    </font>
    <font>
      <b/>
      <sz val="10"/>
      <color indexed="9"/>
      <name val="Arial"/>
      <family val="2"/>
    </font>
    <font>
      <sz val="10"/>
      <name val="Arial (W1)"/>
      <family val="2"/>
    </font>
    <font>
      <b/>
      <sz val="10"/>
      <color indexed="9"/>
      <name val="Arial (W1)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b/>
      <sz val="10"/>
      <name val="Arial (W1)"/>
      <family val="2"/>
    </font>
    <font>
      <i/>
      <sz val="10"/>
      <name val="Arial"/>
      <family val="2"/>
    </font>
    <font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>
      <alignment wrapText="1"/>
    </xf>
    <xf numFmtId="0" fontId="1" fillId="0" borderId="0"/>
    <xf numFmtId="0" fontId="12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9" fontId="7" fillId="0" borderId="0" xfId="6" applyFont="1"/>
    <xf numFmtId="0" fontId="7" fillId="0" borderId="0" xfId="4" applyFont="1"/>
    <xf numFmtId="0" fontId="5" fillId="0" borderId="0" xfId="4" applyFont="1" applyAlignment="1">
      <alignment horizontal="right"/>
    </xf>
    <xf numFmtId="0" fontId="7" fillId="0" borderId="1" xfId="4" applyFont="1" applyBorder="1"/>
    <xf numFmtId="0" fontId="5" fillId="0" borderId="1" xfId="4" applyFont="1" applyBorder="1" applyAlignment="1">
      <alignment horizontal="right"/>
    </xf>
    <xf numFmtId="0" fontId="9" fillId="0" borderId="0" xfId="4" applyFont="1"/>
    <xf numFmtId="0" fontId="2" fillId="0" borderId="0" xfId="4" applyFont="1"/>
    <xf numFmtId="164" fontId="2" fillId="0" borderId="0" xfId="4" applyNumberFormat="1" applyFont="1" applyAlignment="1">
      <alignment horizontal="left"/>
    </xf>
    <xf numFmtId="0" fontId="8" fillId="2" borderId="2" xfId="4" applyFont="1" applyFill="1" applyBorder="1" applyAlignment="1">
      <alignment horizontal="center" wrapText="1"/>
    </xf>
    <xf numFmtId="9" fontId="7" fillId="0" borderId="0" xfId="4" applyNumberFormat="1" applyFont="1"/>
    <xf numFmtId="6" fontId="7" fillId="0" borderId="3" xfId="4" applyNumberFormat="1" applyFont="1" applyBorder="1" applyAlignment="1">
      <alignment horizontal="right" vertical="top" wrapText="1"/>
    </xf>
    <xf numFmtId="10" fontId="7" fillId="0" borderId="3" xfId="4" applyNumberFormat="1" applyFont="1" applyBorder="1" applyAlignment="1">
      <alignment horizontal="right" vertical="top" wrapText="1"/>
    </xf>
    <xf numFmtId="8" fontId="7" fillId="0" borderId="4" xfId="4" applyNumberFormat="1" applyFont="1" applyBorder="1"/>
    <xf numFmtId="8" fontId="7" fillId="0" borderId="0" xfId="4" applyNumberFormat="1" applyFont="1"/>
    <xf numFmtId="6" fontId="7" fillId="0" borderId="0" xfId="4" applyNumberFormat="1" applyFont="1"/>
    <xf numFmtId="3" fontId="7" fillId="0" borderId="3" xfId="4" applyNumberFormat="1" applyFont="1" applyBorder="1" applyAlignment="1">
      <alignment horizontal="right" vertical="top" wrapText="1"/>
    </xf>
    <xf numFmtId="6" fontId="7" fillId="0" borderId="4" xfId="4" applyNumberFormat="1" applyFont="1" applyBorder="1" applyAlignment="1">
      <alignment horizontal="right" vertical="top" wrapText="1"/>
    </xf>
    <xf numFmtId="0" fontId="3" fillId="0" borderId="0" xfId="4" applyFont="1" applyBorder="1" applyAlignment="1">
      <alignment horizontal="center"/>
    </xf>
    <xf numFmtId="0" fontId="6" fillId="2" borderId="4" xfId="4" applyFont="1" applyFill="1" applyBorder="1" applyAlignment="1">
      <alignment horizontal="center" wrapText="1"/>
    </xf>
    <xf numFmtId="6" fontId="2" fillId="0" borderId="3" xfId="4" applyNumberFormat="1" applyFont="1" applyBorder="1" applyAlignment="1">
      <alignment horizontal="right" vertical="top" wrapText="1"/>
    </xf>
    <xf numFmtId="0" fontId="14" fillId="0" borderId="0" xfId="5" applyFont="1" applyFill="1" applyBorder="1" applyAlignment="1">
      <alignment horizontal="left" vertical="top"/>
    </xf>
    <xf numFmtId="38" fontId="7" fillId="0" borderId="3" xfId="4" applyNumberFormat="1" applyFont="1" applyBorder="1" applyAlignment="1">
      <alignment horizontal="right" vertical="top" wrapText="1"/>
    </xf>
    <xf numFmtId="8" fontId="7" fillId="0" borderId="0" xfId="4" applyNumberFormat="1" applyFont="1" applyBorder="1"/>
    <xf numFmtId="6" fontId="7" fillId="0" borderId="0" xfId="4" applyNumberFormat="1" applyFont="1" applyBorder="1"/>
    <xf numFmtId="3" fontId="2" fillId="0" borderId="0" xfId="4" applyNumberFormat="1" applyFont="1" applyBorder="1" applyAlignment="1">
      <alignment horizontal="right" vertical="top" wrapText="1"/>
    </xf>
    <xf numFmtId="3" fontId="7" fillId="0" borderId="0" xfId="4" applyNumberFormat="1" applyFont="1" applyBorder="1" applyAlignment="1">
      <alignment horizontal="right" vertical="top" wrapText="1"/>
    </xf>
    <xf numFmtId="38" fontId="7" fillId="0" borderId="0" xfId="4" applyNumberFormat="1" applyFont="1" applyBorder="1" applyAlignment="1">
      <alignment horizontal="right" vertical="top" wrapText="1"/>
    </xf>
    <xf numFmtId="166" fontId="7" fillId="0" borderId="3" xfId="4" applyNumberFormat="1" applyFont="1" applyBorder="1" applyAlignment="1">
      <alignment horizontal="right" vertical="top" wrapText="1"/>
    </xf>
    <xf numFmtId="6" fontId="7" fillId="0" borderId="4" xfId="4" applyNumberFormat="1" applyFont="1" applyBorder="1"/>
    <xf numFmtId="168" fontId="11" fillId="0" borderId="0" xfId="3" applyNumberFormat="1" applyFont="1" applyFill="1" applyBorder="1" applyAlignment="1">
      <alignment horizontal="left" vertical="top"/>
    </xf>
    <xf numFmtId="6" fontId="7" fillId="0" borderId="5" xfId="4" applyNumberFormat="1" applyFont="1" applyBorder="1" applyAlignment="1">
      <alignment horizontal="right" vertical="top" wrapText="1"/>
    </xf>
    <xf numFmtId="3" fontId="7" fillId="0" borderId="6" xfId="4" applyNumberFormat="1" applyFont="1" applyBorder="1" applyAlignment="1">
      <alignment horizontal="right" vertical="top" wrapText="1"/>
    </xf>
    <xf numFmtId="166" fontId="7" fillId="0" borderId="6" xfId="4" applyNumberFormat="1" applyFont="1" applyBorder="1" applyAlignment="1">
      <alignment horizontal="right" vertical="top" wrapText="1"/>
    </xf>
    <xf numFmtId="0" fontId="7" fillId="0" borderId="1" xfId="4" applyFont="1" applyBorder="1" applyAlignment="1"/>
    <xf numFmtId="0" fontId="2" fillId="0" borderId="0" xfId="4" applyFont="1" applyBorder="1" applyAlignment="1">
      <alignment vertical="top" wrapText="1"/>
    </xf>
    <xf numFmtId="0" fontId="8" fillId="2" borderId="7" xfId="4" applyFont="1" applyFill="1" applyBorder="1" applyAlignment="1">
      <alignment horizontal="center" wrapText="1"/>
    </xf>
    <xf numFmtId="0" fontId="15" fillId="3" borderId="7" xfId="4" applyFont="1" applyFill="1" applyBorder="1" applyAlignment="1">
      <alignment horizontal="center" wrapText="1"/>
    </xf>
    <xf numFmtId="10" fontId="7" fillId="0" borderId="8" xfId="4" applyNumberFormat="1" applyFont="1" applyBorder="1" applyAlignment="1">
      <alignment horizontal="right" vertical="top" wrapText="1"/>
    </xf>
    <xf numFmtId="10" fontId="7" fillId="0" borderId="9" xfId="4" applyNumberFormat="1" applyFont="1" applyBorder="1" applyAlignment="1">
      <alignment horizontal="right" vertical="top" wrapText="1"/>
    </xf>
    <xf numFmtId="0" fontId="8" fillId="2" borderId="10" xfId="4" applyFont="1" applyFill="1" applyBorder="1" applyAlignment="1">
      <alignment horizontal="center" wrapText="1"/>
    </xf>
    <xf numFmtId="10" fontId="7" fillId="0" borderId="4" xfId="4" applyNumberFormat="1" applyFont="1" applyBorder="1" applyAlignment="1">
      <alignment horizontal="right" vertical="top" wrapText="1"/>
    </xf>
    <xf numFmtId="3" fontId="2" fillId="0" borderId="4" xfId="4" applyNumberFormat="1" applyFont="1" applyBorder="1" applyAlignment="1">
      <alignment horizontal="right" vertical="top" wrapText="1"/>
    </xf>
    <xf numFmtId="6" fontId="7" fillId="0" borderId="9" xfId="4" applyNumberFormat="1" applyFont="1" applyBorder="1"/>
    <xf numFmtId="3" fontId="2" fillId="0" borderId="8" xfId="4" applyNumberFormat="1" applyFont="1" applyBorder="1" applyAlignment="1">
      <alignment horizontal="right" vertical="top" wrapText="1"/>
    </xf>
    <xf numFmtId="8" fontId="7" fillId="0" borderId="8" xfId="4" applyNumberFormat="1" applyFont="1" applyBorder="1"/>
    <xf numFmtId="0" fontId="13" fillId="4" borderId="11" xfId="0" applyFont="1" applyFill="1" applyBorder="1" applyAlignment="1">
      <alignment horizontal="center" vertical="top" wrapText="1"/>
    </xf>
    <xf numFmtId="0" fontId="13" fillId="4" borderId="12" xfId="0" applyFont="1" applyFill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168" fontId="11" fillId="4" borderId="14" xfId="0" applyNumberFormat="1" applyFont="1" applyFill="1" applyBorder="1" applyAlignment="1">
      <alignment horizontal="left" vertical="top"/>
    </xf>
    <xf numFmtId="168" fontId="11" fillId="4" borderId="12" xfId="0" applyNumberFormat="1" applyFont="1" applyFill="1" applyBorder="1" applyAlignment="1">
      <alignment vertical="top"/>
    </xf>
    <xf numFmtId="165" fontId="11" fillId="4" borderId="12" xfId="0" applyNumberFormat="1" applyFont="1" applyFill="1" applyBorder="1" applyAlignment="1">
      <alignment vertical="top"/>
    </xf>
    <xf numFmtId="169" fontId="11" fillId="4" borderId="12" xfId="0" applyNumberFormat="1" applyFont="1" applyFill="1" applyBorder="1" applyAlignment="1">
      <alignment vertical="top"/>
    </xf>
    <xf numFmtId="169" fontId="11" fillId="4" borderId="13" xfId="0" applyNumberFormat="1" applyFont="1" applyFill="1" applyBorder="1" applyAlignment="1">
      <alignment vertical="top"/>
    </xf>
    <xf numFmtId="0" fontId="0" fillId="5" borderId="15" xfId="0" applyFill="1" applyBorder="1"/>
    <xf numFmtId="0" fontId="0" fillId="5" borderId="0" xfId="0" applyFill="1"/>
    <xf numFmtId="169" fontId="11" fillId="5" borderId="0" xfId="0" applyNumberFormat="1" applyFont="1" applyFill="1" applyAlignment="1">
      <alignment vertical="top"/>
    </xf>
    <xf numFmtId="169" fontId="11" fillId="5" borderId="10" xfId="0" applyNumberFormat="1" applyFont="1" applyFill="1" applyBorder="1" applyAlignment="1">
      <alignment vertical="top"/>
    </xf>
    <xf numFmtId="168" fontId="11" fillId="4" borderId="11" xfId="0" applyNumberFormat="1" applyFont="1" applyFill="1" applyBorder="1" applyAlignment="1">
      <alignment horizontal="left" vertical="top"/>
    </xf>
    <xf numFmtId="0" fontId="0" fillId="4" borderId="16" xfId="0" applyFill="1" applyBorder="1"/>
    <xf numFmtId="0" fontId="0" fillId="4" borderId="17" xfId="0" applyFill="1" applyBorder="1"/>
    <xf numFmtId="0" fontId="0" fillId="6" borderId="15" xfId="0" applyFill="1" applyBorder="1"/>
    <xf numFmtId="0" fontId="0" fillId="6" borderId="0" xfId="0" applyFill="1"/>
    <xf numFmtId="169" fontId="11" fillId="6" borderId="0" xfId="0" applyNumberFormat="1" applyFont="1" applyFill="1" applyAlignment="1">
      <alignment vertical="top"/>
    </xf>
    <xf numFmtId="169" fontId="11" fillId="5" borderId="0" xfId="0" applyNumberFormat="1" applyFont="1" applyFill="1" applyBorder="1" applyAlignment="1">
      <alignment vertical="top"/>
    </xf>
    <xf numFmtId="169" fontId="11" fillId="6" borderId="0" xfId="0" applyNumberFormat="1" applyFont="1" applyFill="1" applyBorder="1" applyAlignment="1">
      <alignment vertical="top"/>
    </xf>
    <xf numFmtId="0" fontId="0" fillId="5" borderId="18" xfId="0" applyFill="1" applyBorder="1"/>
    <xf numFmtId="0" fontId="0" fillId="5" borderId="19" xfId="0" applyFill="1" applyBorder="1"/>
    <xf numFmtId="169" fontId="11" fillId="5" borderId="20" xfId="0" applyNumberFormat="1" applyFont="1" applyFill="1" applyBorder="1" applyAlignment="1">
      <alignment vertical="top"/>
    </xf>
    <xf numFmtId="0" fontId="0" fillId="6" borderId="18" xfId="0" applyFill="1" applyBorder="1"/>
    <xf numFmtId="0" fontId="0" fillId="6" borderId="19" xfId="0" applyFill="1" applyBorder="1"/>
    <xf numFmtId="165" fontId="11" fillId="4" borderId="11" xfId="0" applyNumberFormat="1" applyFont="1" applyFill="1" applyBorder="1" applyAlignment="1">
      <alignment horizontal="right" vertical="top"/>
    </xf>
    <xf numFmtId="165" fontId="11" fillId="4" borderId="14" xfId="0" applyNumberFormat="1" applyFont="1" applyFill="1" applyBorder="1" applyAlignment="1">
      <alignment horizontal="right" vertical="top"/>
    </xf>
    <xf numFmtId="0" fontId="0" fillId="4" borderId="15" xfId="0" applyFill="1" applyBorder="1"/>
    <xf numFmtId="0" fontId="0" fillId="4" borderId="0" xfId="0" applyFill="1"/>
    <xf numFmtId="169" fontId="11" fillId="4" borderId="0" xfId="0" applyNumberFormat="1" applyFont="1" applyFill="1" applyAlignment="1">
      <alignment horizontal="right" vertical="top"/>
    </xf>
    <xf numFmtId="169" fontId="11" fillId="4" borderId="11" xfId="0" applyNumberFormat="1" applyFont="1" applyFill="1" applyBorder="1" applyAlignment="1">
      <alignment horizontal="right" vertical="top"/>
    </xf>
    <xf numFmtId="169" fontId="11" fillId="4" borderId="14" xfId="0" applyNumberFormat="1" applyFont="1" applyFill="1" applyBorder="1" applyAlignment="1">
      <alignment horizontal="right" vertical="top"/>
    </xf>
    <xf numFmtId="168" fontId="11" fillId="0" borderId="0" xfId="0" applyNumberFormat="1" applyFont="1" applyFill="1" applyBorder="1" applyAlignment="1">
      <alignment horizontal="left" vertical="top"/>
    </xf>
    <xf numFmtId="0" fontId="7" fillId="0" borderId="0" xfId="4" applyFont="1" applyFill="1" applyBorder="1"/>
    <xf numFmtId="0" fontId="7" fillId="0" borderId="0" xfId="4" applyFont="1" applyFill="1"/>
    <xf numFmtId="167" fontId="7" fillId="0" borderId="4" xfId="2" applyNumberFormat="1" applyFont="1" applyBorder="1"/>
    <xf numFmtId="3" fontId="7" fillId="0" borderId="4" xfId="4" applyNumberFormat="1" applyFont="1" applyBorder="1"/>
    <xf numFmtId="3" fontId="7" fillId="0" borderId="8" xfId="4" applyNumberFormat="1" applyFont="1" applyBorder="1"/>
    <xf numFmtId="167" fontId="7" fillId="0" borderId="9" xfId="2" applyNumberFormat="1" applyFont="1" applyBorder="1"/>
    <xf numFmtId="166" fontId="7" fillId="0" borderId="4" xfId="1" applyNumberFormat="1" applyFont="1" applyBorder="1"/>
    <xf numFmtId="166" fontId="7" fillId="0" borderId="8" xfId="1" applyNumberFormat="1" applyFont="1" applyBorder="1"/>
    <xf numFmtId="166" fontId="7" fillId="0" borderId="3" xfId="1" applyNumberFormat="1" applyFont="1" applyBorder="1" applyAlignment="1">
      <alignment horizontal="right" vertical="top" wrapText="1"/>
    </xf>
    <xf numFmtId="167" fontId="7" fillId="0" borderId="3" xfId="4" applyNumberFormat="1" applyFont="1" applyBorder="1" applyAlignment="1">
      <alignment horizontal="right" vertical="top" wrapText="1"/>
    </xf>
    <xf numFmtId="37" fontId="7" fillId="0" borderId="3" xfId="4" applyNumberFormat="1" applyFont="1" applyBorder="1" applyAlignment="1">
      <alignment horizontal="right" vertical="top" wrapText="1"/>
    </xf>
    <xf numFmtId="5" fontId="7" fillId="0" borderId="3" xfId="4" applyNumberFormat="1" applyFont="1" applyBorder="1" applyAlignment="1">
      <alignment horizontal="right" vertical="top" wrapText="1"/>
    </xf>
    <xf numFmtId="167" fontId="7" fillId="0" borderId="0" xfId="4" applyNumberFormat="1" applyFont="1"/>
    <xf numFmtId="3" fontId="7" fillId="0" borderId="0" xfId="4" applyNumberFormat="1" applyFont="1"/>
    <xf numFmtId="42" fontId="7" fillId="0" borderId="3" xfId="4" applyNumberFormat="1" applyFont="1" applyBorder="1" applyAlignment="1">
      <alignment horizontal="right" vertical="top" wrapText="1"/>
    </xf>
    <xf numFmtId="42" fontId="2" fillId="0" borderId="3" xfId="4" applyNumberFormat="1" applyFont="1" applyBorder="1" applyAlignment="1">
      <alignment horizontal="right" vertical="top" wrapText="1"/>
    </xf>
    <xf numFmtId="42" fontId="7" fillId="0" borderId="4" xfId="4" applyNumberFormat="1" applyFont="1" applyBorder="1"/>
    <xf numFmtId="38" fontId="7" fillId="0" borderId="4" xfId="4" applyNumberFormat="1" applyFont="1" applyBorder="1"/>
    <xf numFmtId="42" fontId="7" fillId="0" borderId="4" xfId="4" applyNumberFormat="1" applyFont="1" applyBorder="1" applyAlignment="1">
      <alignment horizontal="right" vertical="top" wrapText="1"/>
    </xf>
    <xf numFmtId="0" fontId="17" fillId="0" borderId="0" xfId="4" applyFont="1" applyAlignment="1">
      <alignment horizontal="right"/>
    </xf>
    <xf numFmtId="0" fontId="17" fillId="0" borderId="1" xfId="4" applyFont="1" applyBorder="1"/>
    <xf numFmtId="0" fontId="18" fillId="0" borderId="0" xfId="4" applyFont="1" applyBorder="1" applyAlignment="1">
      <alignment horizontal="center"/>
    </xf>
    <xf numFmtId="0" fontId="19" fillId="0" borderId="0" xfId="4" applyFont="1"/>
    <xf numFmtId="0" fontId="18" fillId="0" borderId="0" xfId="4" applyFont="1"/>
    <xf numFmtId="164" fontId="18" fillId="0" borderId="0" xfId="4" applyNumberFormat="1" applyFont="1" applyAlignment="1">
      <alignment horizontal="left"/>
    </xf>
    <xf numFmtId="0" fontId="20" fillId="2" borderId="2" xfId="4" applyFont="1" applyFill="1" applyBorder="1" applyAlignment="1">
      <alignment horizontal="center" wrapText="1"/>
    </xf>
    <xf numFmtId="10" fontId="18" fillId="0" borderId="3" xfId="4" applyNumberFormat="1" applyFont="1" applyBorder="1" applyAlignment="1">
      <alignment horizontal="right" vertical="top" wrapText="1"/>
    </xf>
    <xf numFmtId="3" fontId="18" fillId="0" borderId="3" xfId="4" applyNumberFormat="1" applyFont="1" applyBorder="1" applyAlignment="1">
      <alignment horizontal="right" vertical="top" wrapText="1"/>
    </xf>
    <xf numFmtId="38" fontId="18" fillId="0" borderId="3" xfId="4" applyNumberFormat="1" applyFont="1" applyBorder="1" applyAlignment="1">
      <alignment horizontal="right" vertical="top" wrapText="1"/>
    </xf>
    <xf numFmtId="0" fontId="20" fillId="2" borderId="4" xfId="4" applyFont="1" applyFill="1" applyBorder="1" applyAlignment="1">
      <alignment horizontal="center" wrapText="1"/>
    </xf>
    <xf numFmtId="166" fontId="18" fillId="0" borderId="3" xfId="1" applyNumberFormat="1" applyFont="1" applyBorder="1" applyAlignment="1">
      <alignment horizontal="right" vertical="top" wrapText="1"/>
    </xf>
    <xf numFmtId="8" fontId="18" fillId="0" borderId="3" xfId="4" applyNumberFormat="1" applyFont="1" applyBorder="1" applyAlignment="1">
      <alignment horizontal="right" vertical="top" wrapText="1"/>
    </xf>
    <xf numFmtId="5" fontId="18" fillId="0" borderId="3" xfId="4" applyNumberFormat="1" applyFont="1" applyBorder="1" applyAlignment="1">
      <alignment horizontal="right" vertical="top" wrapText="1"/>
    </xf>
    <xf numFmtId="6" fontId="18" fillId="0" borderId="3" xfId="4" applyNumberFormat="1" applyFont="1" applyBorder="1" applyAlignment="1">
      <alignment horizontal="right" vertical="top" wrapText="1"/>
    </xf>
    <xf numFmtId="6" fontId="18" fillId="0" borderId="4" xfId="4" applyNumberFormat="1" applyFont="1" applyBorder="1"/>
    <xf numFmtId="5" fontId="18" fillId="0" borderId="4" xfId="4" applyNumberFormat="1" applyFont="1" applyBorder="1"/>
    <xf numFmtId="5" fontId="18" fillId="0" borderId="4" xfId="4" applyNumberFormat="1" applyFont="1" applyBorder="1" applyAlignment="1">
      <alignment horizontal="right" vertical="top" wrapText="1"/>
    </xf>
    <xf numFmtId="0" fontId="20" fillId="2" borderId="4" xfId="4" applyFont="1" applyFill="1" applyBorder="1" applyAlignment="1">
      <alignment horizontal="center" wrapText="1"/>
    </xf>
    <xf numFmtId="0" fontId="20" fillId="2" borderId="4" xfId="4" applyFont="1" applyFill="1" applyBorder="1" applyAlignment="1">
      <alignment horizontal="center" wrapText="1"/>
    </xf>
    <xf numFmtId="0" fontId="18" fillId="0" borderId="21" xfId="4" applyFont="1" applyBorder="1" applyAlignment="1">
      <alignment horizontal="left" vertical="top" wrapText="1"/>
    </xf>
    <xf numFmtId="0" fontId="18" fillId="0" borderId="2" xfId="4" applyFont="1" applyBorder="1" applyAlignment="1">
      <alignment horizontal="left" vertical="top" wrapText="1"/>
    </xf>
    <xf numFmtId="0" fontId="18" fillId="0" borderId="21" xfId="4" applyFont="1" applyBorder="1" applyAlignment="1">
      <alignment horizontal="right" vertical="top" wrapText="1"/>
    </xf>
    <xf numFmtId="0" fontId="18" fillId="0" borderId="2" xfId="4" applyFont="1" applyBorder="1" applyAlignment="1">
      <alignment horizontal="right" vertical="top" wrapText="1"/>
    </xf>
    <xf numFmtId="0" fontId="18" fillId="0" borderId="4" xfId="4" applyFont="1" applyBorder="1" applyAlignment="1">
      <alignment horizontal="left" vertical="top" wrapText="1"/>
    </xf>
    <xf numFmtId="0" fontId="18" fillId="0" borderId="4" xfId="4" applyFont="1" applyBorder="1" applyAlignment="1">
      <alignment horizontal="right" vertical="top" wrapText="1"/>
    </xf>
    <xf numFmtId="0" fontId="22" fillId="0" borderId="0" xfId="4" applyFont="1" applyAlignment="1">
      <alignment horizontal="center"/>
    </xf>
    <xf numFmtId="0" fontId="18" fillId="2" borderId="4" xfId="4" applyFont="1" applyFill="1" applyBorder="1" applyAlignment="1">
      <alignment horizontal="left"/>
    </xf>
    <xf numFmtId="0" fontId="4" fillId="0" borderId="0" xfId="4" applyFont="1" applyAlignment="1">
      <alignment horizontal="left" vertical="center"/>
    </xf>
    <xf numFmtId="0" fontId="18" fillId="0" borderId="0" xfId="4" applyFont="1" applyAlignment="1">
      <alignment horizontal="left" vertical="top" wrapText="1"/>
    </xf>
    <xf numFmtId="0" fontId="20" fillId="2" borderId="4" xfId="4" applyFont="1" applyFill="1" applyBorder="1" applyAlignment="1">
      <alignment horizontal="center" wrapText="1"/>
    </xf>
    <xf numFmtId="0" fontId="21" fillId="0" borderId="0" xfId="4" applyFont="1" applyAlignment="1">
      <alignment horizontal="center"/>
    </xf>
    <xf numFmtId="0" fontId="7" fillId="0" borderId="4" xfId="4" applyFont="1" applyBorder="1" applyAlignment="1">
      <alignment horizontal="left" vertical="top" wrapText="1"/>
    </xf>
    <xf numFmtId="0" fontId="7" fillId="0" borderId="0" xfId="4" applyFont="1" applyAlignment="1">
      <alignment horizontal="left" vertical="top" wrapText="1"/>
    </xf>
    <xf numFmtId="0" fontId="7" fillId="0" borderId="0" xfId="4" applyFont="1" applyAlignment="1">
      <alignment horizontal="center"/>
    </xf>
    <xf numFmtId="0" fontId="8" fillId="2" borderId="4" xfId="4" applyFont="1" applyFill="1" applyBorder="1" applyAlignment="1">
      <alignment horizontal="center" wrapText="1"/>
    </xf>
    <xf numFmtId="0" fontId="2" fillId="0" borderId="21" xfId="4" applyFont="1" applyBorder="1" applyAlignment="1">
      <alignment horizontal="left" vertical="top" wrapText="1"/>
    </xf>
    <xf numFmtId="0" fontId="2" fillId="0" borderId="2" xfId="4" applyFont="1" applyBorder="1" applyAlignment="1">
      <alignment horizontal="left" vertical="top" wrapText="1"/>
    </xf>
    <xf numFmtId="0" fontId="7" fillId="0" borderId="4" xfId="4" applyFont="1" applyBorder="1" applyAlignment="1">
      <alignment horizontal="right" vertical="top" wrapText="1"/>
    </xf>
    <xf numFmtId="0" fontId="7" fillId="2" borderId="4" xfId="4" applyFont="1" applyFill="1" applyBorder="1" applyAlignment="1">
      <alignment horizontal="left"/>
    </xf>
    <xf numFmtId="0" fontId="2" fillId="0" borderId="21" xfId="4" applyFont="1" applyBorder="1" applyAlignment="1">
      <alignment horizontal="right" vertical="top" wrapText="1"/>
    </xf>
    <xf numFmtId="0" fontId="2" fillId="0" borderId="2" xfId="4" applyFont="1" applyBorder="1" applyAlignment="1">
      <alignment horizontal="right" vertical="top" wrapText="1"/>
    </xf>
    <xf numFmtId="0" fontId="16" fillId="0" borderId="22" xfId="4" applyFont="1" applyBorder="1" applyAlignment="1">
      <alignment horizontal="center" vertical="top" wrapText="1"/>
    </xf>
  </cellXfs>
  <cellStyles count="7">
    <cellStyle name="Comma" xfId="1" builtinId="3"/>
    <cellStyle name="Currency" xfId="2" builtinId="4"/>
    <cellStyle name="Normal" xfId="0" builtinId="0"/>
    <cellStyle name="Normal_2010 001 Expenditures and budget by Function Area - single fund" xfId="3"/>
    <cellStyle name="Normal_General Fund 4th Quarter Report 2007" xfId="4"/>
    <cellStyle name="Normal_Monthly Revenue Report 2007" xfId="5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FY 2013 Combined Funds Revenue by Source (Excl Bond Funds)</a:t>
            </a:r>
          </a:p>
        </c:rich>
      </c:tx>
      <c:layout>
        <c:manualLayout>
          <c:xMode val="edge"/>
          <c:yMode val="edge"/>
          <c:x val="0.14428216592151019"/>
          <c:y val="1.935680591178949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418777943368111E-2"/>
          <c:y val="0.10836415379740402"/>
          <c:w val="0.87133631395926481"/>
          <c:h val="0.7141721521711835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'2013 Q4 Combined'!$D$16</c:f>
              <c:strCache>
                <c:ptCount val="1"/>
                <c:pt idx="0">
                  <c:v>YTD Collections as of 10/7/13</c:v>
                </c:pt>
              </c:strCache>
            </c:strRef>
          </c:tx>
          <c:invertIfNegative val="0"/>
          <c:cat>
            <c:strRef>
              <c:f>'2013 Q4 Combined'!$A$17:$B$23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Misc., Transfers, Ins.</c:v>
                </c:pt>
              </c:strCache>
            </c:strRef>
          </c:cat>
          <c:val>
            <c:numRef>
              <c:f>'2013 Q4 Combined'!$D$17:$D$23</c:f>
              <c:numCache>
                <c:formatCode>#,##0</c:formatCode>
                <c:ptCount val="7"/>
                <c:pt idx="0" formatCode="&quot;$&quot;#,##0_);\(&quot;$&quot;#,##0\)">
                  <c:v>180442564</c:v>
                </c:pt>
                <c:pt idx="1">
                  <c:v>382451</c:v>
                </c:pt>
                <c:pt idx="2">
                  <c:v>14901677</c:v>
                </c:pt>
                <c:pt idx="3">
                  <c:v>44048024</c:v>
                </c:pt>
                <c:pt idx="4">
                  <c:v>4078226</c:v>
                </c:pt>
                <c:pt idx="5">
                  <c:v>2313518</c:v>
                </c:pt>
                <c:pt idx="6">
                  <c:v>92621813</c:v>
                </c:pt>
              </c:numCache>
            </c:numRef>
          </c:val>
        </c:ser>
        <c:ser>
          <c:idx val="1"/>
          <c:order val="1"/>
          <c:tx>
            <c:strRef>
              <c:f>'2013 Q4 Combined'!$H$16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wdDn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1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2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3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4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5"/>
            <c:invertIfNegative val="0"/>
            <c:bubble3D val="0"/>
            <c:spPr>
              <a:pattFill prst="dk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6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cat>
            <c:strRef>
              <c:f>'2013 Q4 Combined'!$A$17:$B$23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Misc., Transfers, Ins.</c:v>
                </c:pt>
              </c:strCache>
            </c:strRef>
          </c:cat>
          <c:val>
            <c:numRef>
              <c:f>'2013 Q4 Combined'!$H$17:$H$23</c:f>
              <c:numCache>
                <c:formatCode>#,##0_);[Red]\(#,##0\)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191251</c:v>
                </c:pt>
                <c:pt idx="4">
                  <c:v>0</c:v>
                </c:pt>
                <c:pt idx="5">
                  <c:v>681200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6100608"/>
        <c:axId val="126102528"/>
      </c:barChart>
      <c:lineChart>
        <c:grouping val="stacked"/>
        <c:varyColors val="0"/>
        <c:ser>
          <c:idx val="2"/>
          <c:order val="2"/>
          <c:tx>
            <c:strRef>
              <c:f>'2013 Q4 Combined'!$I$16</c:f>
              <c:strCache>
                <c:ptCount val="1"/>
                <c:pt idx="0">
                  <c:v>100%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</c:spPr>
          </c:marker>
          <c:val>
            <c:numRef>
              <c:f>'2013 Q4 Combined'!$I$17:$I$23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00608"/>
        <c:axId val="126102528"/>
      </c:lineChart>
      <c:catAx>
        <c:axId val="12610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12610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1025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61006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38318282901862"/>
          <c:y val="0.93239554914790579"/>
          <c:w val="0.62280789791143942"/>
          <c:h val="5.9154929577464821E-2"/>
        </c:manualLayout>
      </c:layout>
      <c:overlay val="0"/>
    </c:legend>
    <c:plotVisOnly val="1"/>
    <c:dispBlanksAs val="zero"/>
    <c:showDLblsOverMax val="0"/>
  </c:chart>
  <c:printSettings>
    <c:headerFooter alignWithMargins="0"/>
    <c:pageMargins b="1" l="0.75" r="0.75" t="1" header="0.5" footer="0.5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FY 2013 Combined Funds Expenditures by Function Area</a:t>
            </a:r>
            <a:r>
              <a:rPr lang="en-US" sz="1400" baseline="0"/>
              <a:t>    </a:t>
            </a:r>
            <a:r>
              <a:rPr lang="en-US" sz="1400"/>
              <a:t>           (Excluding Bond Funds)</a:t>
            </a:r>
          </a:p>
        </c:rich>
      </c:tx>
      <c:layout>
        <c:manualLayout>
          <c:xMode val="edge"/>
          <c:yMode val="edge"/>
          <c:x val="0.12575252981603827"/>
          <c:y val="2.95883944739465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418777943368111E-2"/>
          <c:y val="0.1573244623491831"/>
          <c:w val="0.85146547441629405"/>
          <c:h val="0.6006124234470691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'2013 Q3 Combined'!$D$48</c:f>
              <c:strCache>
                <c:ptCount val="1"/>
                <c:pt idx="0">
                  <c:v>YTD Expenditures as of 7/15/13</c:v>
                </c:pt>
              </c:strCache>
            </c:strRef>
          </c:tx>
          <c:invertIfNegative val="0"/>
          <c:cat>
            <c:strRef>
              <c:f>'2013 Q3 Combined'!$A$49:$B$61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Unclassified</c:v>
                </c:pt>
              </c:strCache>
            </c:strRef>
          </c:cat>
          <c:val>
            <c:numRef>
              <c:f>'2013 Q3 Combined'!$D$49:$D$61</c:f>
              <c:numCache>
                <c:formatCode>_(* #,##0_);_(* \(#,##0\);_(* "-"??_);_(@_)</c:formatCode>
                <c:ptCount val="13"/>
                <c:pt idx="0" formatCode="&quot;$&quot;#,##0_);\(&quot;$&quot;#,##0\)">
                  <c:v>225835</c:v>
                </c:pt>
                <c:pt idx="1">
                  <c:v>658981</c:v>
                </c:pt>
                <c:pt idx="2">
                  <c:v>37758833</c:v>
                </c:pt>
                <c:pt idx="3">
                  <c:v>2324704</c:v>
                </c:pt>
                <c:pt idx="4">
                  <c:v>7038459</c:v>
                </c:pt>
                <c:pt idx="5">
                  <c:v>21679632</c:v>
                </c:pt>
                <c:pt idx="6">
                  <c:v>12958320</c:v>
                </c:pt>
                <c:pt idx="7">
                  <c:v>11577067</c:v>
                </c:pt>
                <c:pt idx="8">
                  <c:v>7243314</c:v>
                </c:pt>
                <c:pt idx="9">
                  <c:v>9063174</c:v>
                </c:pt>
                <c:pt idx="10">
                  <c:v>44764937</c:v>
                </c:pt>
                <c:pt idx="11">
                  <c:v>14980960</c:v>
                </c:pt>
                <c:pt idx="12">
                  <c:v>27855416</c:v>
                </c:pt>
              </c:numCache>
            </c:numRef>
          </c:val>
        </c:ser>
        <c:ser>
          <c:idx val="1"/>
          <c:order val="1"/>
          <c:tx>
            <c:strRef>
              <c:f>'2013 Q3 Combined'!$H$48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ysClr val="window" lastClr="FFFFFF">
                  <a:lumMod val="65000"/>
                </a:sysClr>
              </a:fgClr>
              <a:bgClr>
                <a:sysClr val="window" lastClr="FFFFFF"/>
              </a:bgClr>
            </a:patt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cat>
            <c:strRef>
              <c:f>'2013 Q3 Combined'!$A$49:$B$61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Unclassified</c:v>
                </c:pt>
              </c:strCache>
            </c:strRef>
          </c:cat>
          <c:val>
            <c:numRef>
              <c:f>'2013 Q3 Combined'!$H$49:$H$61</c:f>
              <c:numCache>
                <c:formatCode>#,##0</c:formatCode>
                <c:ptCount val="13"/>
                <c:pt idx="0" formatCode="&quot;$&quot;#,##0_);[Red]\(&quot;$&quot;#,##0\)">
                  <c:v>80987</c:v>
                </c:pt>
                <c:pt idx="1">
                  <c:v>209110</c:v>
                </c:pt>
                <c:pt idx="2">
                  <c:v>7082635</c:v>
                </c:pt>
                <c:pt idx="3">
                  <c:v>1522895</c:v>
                </c:pt>
                <c:pt idx="4">
                  <c:v>3548776</c:v>
                </c:pt>
                <c:pt idx="5">
                  <c:v>15562026</c:v>
                </c:pt>
                <c:pt idx="6">
                  <c:v>5101132</c:v>
                </c:pt>
                <c:pt idx="7">
                  <c:v>5725276</c:v>
                </c:pt>
                <c:pt idx="8">
                  <c:v>3308580</c:v>
                </c:pt>
                <c:pt idx="9">
                  <c:v>3155862</c:v>
                </c:pt>
                <c:pt idx="10">
                  <c:v>17957124</c:v>
                </c:pt>
                <c:pt idx="11">
                  <c:v>5569935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351936"/>
        <c:axId val="33350400"/>
      </c:barChart>
      <c:lineChart>
        <c:grouping val="stacked"/>
        <c:varyColors val="0"/>
        <c:ser>
          <c:idx val="2"/>
          <c:order val="2"/>
          <c:tx>
            <c:strRef>
              <c:f>'2013 Q3 Combined'!$G$48</c:f>
              <c:strCache>
                <c:ptCount val="1"/>
                <c:pt idx="0">
                  <c:v>75%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</c:spPr>
          </c:marker>
          <c:val>
            <c:numRef>
              <c:f>'2013 Q3 Combined'!$I$49:$I$61</c:f>
              <c:numCache>
                <c:formatCode>0%</c:formatCode>
                <c:ptCount val="13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51936"/>
        <c:axId val="33350400"/>
      </c:lineChart>
      <c:catAx>
        <c:axId val="3335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/>
            </a:pPr>
            <a:endParaRPr lang="en-US"/>
          </a:p>
        </c:txPr>
        <c:crossAx val="3335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504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3351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164278865810347"/>
          <c:y val="0.9323954651806311"/>
          <c:w val="0.71599201912136279"/>
          <c:h val="5.9154929577464821E-2"/>
        </c:manualLayout>
      </c:layout>
      <c:overlay val="0"/>
    </c:legend>
    <c:plotVisOnly val="1"/>
    <c:dispBlanksAs val="zero"/>
    <c:showDLblsOverMax val="0"/>
  </c:chart>
  <c:printSettings>
    <c:headerFooter alignWithMargins="0"/>
    <c:pageMargins b="1" l="0.75" r="0.75" t="1" header="0.5" footer="0.5"/>
    <c:pageSetup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397312"/>
        <c:axId val="112411392"/>
      </c:barChart>
      <c:catAx>
        <c:axId val="11239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411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11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3973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437504"/>
        <c:axId val="112451584"/>
      </c:barChart>
      <c:catAx>
        <c:axId val="11243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451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451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437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473024"/>
        <c:axId val="113474560"/>
      </c:barChart>
      <c:catAx>
        <c:axId val="11347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474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474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4730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% of Combined Funds Revenue 
Collected  thru 2nd Quarter of Fiscal Year</a:t>
            </a:r>
          </a:p>
        </c:rich>
      </c:tx>
      <c:layout>
        <c:manualLayout>
          <c:xMode val="edge"/>
          <c:yMode val="edge"/>
          <c:x val="0.33284054729845158"/>
          <c:y val="3.3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086E-2"/>
          <c:y val="0.24011365674009302"/>
          <c:w val="0.88609531459131363"/>
          <c:h val="0.54802411067738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'2010 Q2 Combined'!$M$16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Combined'!$J$17:$J$23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'2010 Q2 Combined'!$M$17:$M$23</c:f>
              <c:numCache>
                <c:formatCode>0.00%</c:formatCode>
                <c:ptCount val="7"/>
                <c:pt idx="0">
                  <c:v>0.96710310815582257</c:v>
                </c:pt>
                <c:pt idx="1">
                  <c:v>0.41389711005377339</c:v>
                </c:pt>
                <c:pt idx="2">
                  <c:v>0.54667993799076475</c:v>
                </c:pt>
                <c:pt idx="3">
                  <c:v>0.43679930939396983</c:v>
                </c:pt>
                <c:pt idx="4">
                  <c:v>0.37006269723423346</c:v>
                </c:pt>
                <c:pt idx="5">
                  <c:v>0.25515008483551016</c:v>
                </c:pt>
                <c:pt idx="6">
                  <c:v>0.87207522774373869</c:v>
                </c:pt>
              </c:numCache>
            </c:numRef>
          </c:val>
        </c:ser>
        <c:ser>
          <c:idx val="1"/>
          <c:order val="1"/>
          <c:tx>
            <c:strRef>
              <c:f>'2010 Q2 Combined'!$Q$16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Q2 Combined'!$Q$17:$Q$23</c:f>
              <c:numCache>
                <c:formatCode>0.00%</c:formatCode>
                <c:ptCount val="7"/>
                <c:pt idx="0">
                  <c:v>0.96520185903293965</c:v>
                </c:pt>
                <c:pt idx="1">
                  <c:v>0.58108996654661782</c:v>
                </c:pt>
                <c:pt idx="2">
                  <c:v>0.45461223846980953</c:v>
                </c:pt>
                <c:pt idx="3">
                  <c:v>0.4857511435403668</c:v>
                </c:pt>
                <c:pt idx="4">
                  <c:v>0.47659266448282794</c:v>
                </c:pt>
                <c:pt idx="5">
                  <c:v>0.50769921719947342</c:v>
                </c:pt>
                <c:pt idx="6">
                  <c:v>0.19566187982088112</c:v>
                </c:pt>
              </c:numCache>
            </c:numRef>
          </c:val>
        </c:ser>
        <c:ser>
          <c:idx val="2"/>
          <c:order val="2"/>
          <c:tx>
            <c:strRef>
              <c:f>'2010 Q2 Combined'!$U$16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Q2 Combined'!$U$17:$U$23</c:f>
              <c:numCache>
                <c:formatCode>0.00%</c:formatCode>
                <c:ptCount val="7"/>
                <c:pt idx="0">
                  <c:v>0.95831797486522552</c:v>
                </c:pt>
                <c:pt idx="1">
                  <c:v>0.47183926873262433</c:v>
                </c:pt>
                <c:pt idx="2">
                  <c:v>0.37714619104162128</c:v>
                </c:pt>
                <c:pt idx="3">
                  <c:v>0.49715323831668901</c:v>
                </c:pt>
                <c:pt idx="4">
                  <c:v>0.32179488252514643</c:v>
                </c:pt>
                <c:pt idx="5">
                  <c:v>0.52515833301453496</c:v>
                </c:pt>
                <c:pt idx="6">
                  <c:v>0.23563392212024023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09120"/>
        <c:axId val="113510656"/>
      </c:barChart>
      <c:catAx>
        <c:axId val="11350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3510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51065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35091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751510351146932"/>
          <c:y val="0.91525690644601632"/>
          <c:w val="0.64497088011927495"/>
          <c:h val="0.9830538131886057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% of Combined Funds Expenditures 
Spent thru 2nd Quarter of Fiscal Year</a:t>
            </a:r>
          </a:p>
        </c:rich>
      </c:tx>
      <c:layout>
        <c:manualLayout>
          <c:xMode val="edge"/>
          <c:yMode val="edge"/>
          <c:x val="0.31722054380664655"/>
          <c:y val="3.0092592592592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357E-2"/>
          <c:y val="0.20370416418946272"/>
          <c:w val="0.88821752265861031"/>
          <c:h val="0.51389005056887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'2010 Q2 Combined'!$M$48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Combined'!$J$49:$J$61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'2010 Q2 Combined'!$M$49:$M$61</c:f>
              <c:numCache>
                <c:formatCode>0.00%</c:formatCode>
                <c:ptCount val="13"/>
                <c:pt idx="0">
                  <c:v>0.42521139522870965</c:v>
                </c:pt>
                <c:pt idx="1">
                  <c:v>1.4135777417746298</c:v>
                </c:pt>
                <c:pt idx="2">
                  <c:v>0.80277401508751045</c:v>
                </c:pt>
                <c:pt idx="3">
                  <c:v>0.53862756892814267</c:v>
                </c:pt>
                <c:pt idx="4">
                  <c:v>0.52624247978161132</c:v>
                </c:pt>
                <c:pt idx="5">
                  <c:v>0.43277225283665188</c:v>
                </c:pt>
                <c:pt idx="6">
                  <c:v>0.55535105033759047</c:v>
                </c:pt>
                <c:pt idx="7">
                  <c:v>0.50963262593208847</c:v>
                </c:pt>
                <c:pt idx="8">
                  <c:v>0.53722549647465567</c:v>
                </c:pt>
                <c:pt idx="9">
                  <c:v>0.5583356635130533</c:v>
                </c:pt>
                <c:pt idx="10">
                  <c:v>0.53721093035543166</c:v>
                </c:pt>
                <c:pt idx="11">
                  <c:v>1.7157707533007651</c:v>
                </c:pt>
                <c:pt idx="12">
                  <c:v>0.68081894565774403</c:v>
                </c:pt>
              </c:numCache>
            </c:numRef>
          </c:val>
        </c:ser>
        <c:ser>
          <c:idx val="1"/>
          <c:order val="1"/>
          <c:tx>
            <c:strRef>
              <c:f>'2010 Q2 Combined'!$Q$48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Q2 Combined'!$Q$49:$Q$61</c:f>
              <c:numCache>
                <c:formatCode>0.00%</c:formatCode>
                <c:ptCount val="13"/>
                <c:pt idx="0">
                  <c:v>0.46298145778232808</c:v>
                </c:pt>
                <c:pt idx="1">
                  <c:v>1.4815584178230596</c:v>
                </c:pt>
                <c:pt idx="2">
                  <c:v>0.79485402673568795</c:v>
                </c:pt>
                <c:pt idx="3">
                  <c:v>0.45959410525238276</c:v>
                </c:pt>
                <c:pt idx="4">
                  <c:v>0.47209942776737962</c:v>
                </c:pt>
                <c:pt idx="5">
                  <c:v>0.39098355697770276</c:v>
                </c:pt>
                <c:pt idx="6">
                  <c:v>0.49382559860884867</c:v>
                </c:pt>
                <c:pt idx="7">
                  <c:v>0.48097534647211193</c:v>
                </c:pt>
                <c:pt idx="8">
                  <c:v>0.50042734083667828</c:v>
                </c:pt>
                <c:pt idx="9">
                  <c:v>0.86857221194690837</c:v>
                </c:pt>
                <c:pt idx="10">
                  <c:v>0.49636965595469068</c:v>
                </c:pt>
                <c:pt idx="11">
                  <c:v>1.1817005831326839</c:v>
                </c:pt>
                <c:pt idx="12">
                  <c:v>0.66330450943556862</c:v>
                </c:pt>
              </c:numCache>
            </c:numRef>
          </c:val>
        </c:ser>
        <c:ser>
          <c:idx val="2"/>
          <c:order val="2"/>
          <c:tx>
            <c:strRef>
              <c:f>'2010 Q2 Combined'!$W$48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Q2 Combined'!$W$49:$W$61</c:f>
              <c:numCache>
                <c:formatCode>0.00%</c:formatCode>
                <c:ptCount val="13"/>
                <c:pt idx="0">
                  <c:v>0.43221129046632656</c:v>
                </c:pt>
                <c:pt idx="1">
                  <c:v>1.0171499692701302</c:v>
                </c:pt>
                <c:pt idx="2">
                  <c:v>0.79630938908241167</c:v>
                </c:pt>
                <c:pt idx="3">
                  <c:v>0.56756284069918206</c:v>
                </c:pt>
                <c:pt idx="4">
                  <c:v>0.51394917013670982</c:v>
                </c:pt>
                <c:pt idx="5">
                  <c:v>0.30169012344859009</c:v>
                </c:pt>
                <c:pt idx="6">
                  <c:v>0.41206862703618996</c:v>
                </c:pt>
                <c:pt idx="7">
                  <c:v>0.46691191959455824</c:v>
                </c:pt>
                <c:pt idx="8">
                  <c:v>0.49846173625880785</c:v>
                </c:pt>
                <c:pt idx="9">
                  <c:v>0.81920497380754109</c:v>
                </c:pt>
                <c:pt idx="10">
                  <c:v>0.50732895730016148</c:v>
                </c:pt>
                <c:pt idx="11">
                  <c:v>1.508805031745805</c:v>
                </c:pt>
                <c:pt idx="12">
                  <c:v>0.634152381999599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61984"/>
        <c:axId val="113563520"/>
      </c:barChart>
      <c:catAx>
        <c:axId val="11356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3563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56352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3561984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519637462235651"/>
          <c:y val="0.93287255759696708"/>
          <c:w val="0.60271903323262843"/>
          <c:h val="0.9861132983377077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2010 Combined Funds Revenue by Source</a:t>
            </a:r>
          </a:p>
        </c:rich>
      </c:tx>
      <c:layout>
        <c:manualLayout>
          <c:xMode val="edge"/>
          <c:yMode val="edge"/>
          <c:x val="0.27421764587118913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23E-2"/>
          <c:w val="0.8792846497764526"/>
          <c:h val="0.7323953735631799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'2010 Q3 Combined '!$D$16</c:f>
              <c:strCache>
                <c:ptCount val="1"/>
                <c:pt idx="0">
                  <c:v>YTD Collections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'2010 Q3 Combined '!$D$17:$D$23</c:f>
              <c:numCache>
                <c:formatCode>_(* #,##0_);_(* \(#,##0\);_(* "-"??_);_(@_)</c:formatCode>
                <c:ptCount val="7"/>
                <c:pt idx="0" formatCode="&quot;$&quot;#,##0_);[Red]\(&quot;$&quot;#,##0\)">
                  <c:v>173979625.33000001</c:v>
                </c:pt>
                <c:pt idx="1">
                  <c:v>212828.2</c:v>
                </c:pt>
                <c:pt idx="2">
                  <c:v>9403206.629999999</c:v>
                </c:pt>
                <c:pt idx="3">
                  <c:v>28642345.460000001</c:v>
                </c:pt>
                <c:pt idx="4">
                  <c:v>2869668.2</c:v>
                </c:pt>
                <c:pt idx="5">
                  <c:v>4085530.95</c:v>
                </c:pt>
                <c:pt idx="6">
                  <c:v>29575891.690000001</c:v>
                </c:pt>
              </c:numCache>
            </c:numRef>
          </c:val>
        </c:ser>
        <c:ser>
          <c:idx val="1"/>
          <c:order val="1"/>
          <c:tx>
            <c:strRef>
              <c:f>'2010 Q3 Combined 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'2010 Q3 Combined '!$H$17:$H$23</c:f>
              <c:numCache>
                <c:formatCode>"$"#,##0_);[Red]\("$"#,##0\)</c:formatCode>
                <c:ptCount val="7"/>
                <c:pt idx="0">
                  <c:v>1959880.6699999869</c:v>
                </c:pt>
                <c:pt idx="1">
                  <c:v>123025.79999999999</c:v>
                </c:pt>
                <c:pt idx="2" formatCode="#,##0_);[Red]\(#,##0\)">
                  <c:v>1360351.370000001</c:v>
                </c:pt>
                <c:pt idx="3" formatCode="#,##0_);[Red]\(#,##0\)">
                  <c:v>11708880.539999999</c:v>
                </c:pt>
                <c:pt idx="4" formatCode="#,##0_);[Red]\(#,##0\)">
                  <c:v>1726706.7999999998</c:v>
                </c:pt>
                <c:pt idx="5" formatCode="#,##0_);[Red]\(#,##0\)">
                  <c:v>4520535.05</c:v>
                </c:pt>
                <c:pt idx="6" formatCode="#,##0_);[Red]\(#,##0\)">
                  <c:v>233270.30999999866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733632"/>
        <c:axId val="113735552"/>
      </c:barChart>
      <c:lineChart>
        <c:grouping val="stacked"/>
        <c:varyColors val="0"/>
        <c:ser>
          <c:idx val="2"/>
          <c:order val="2"/>
          <c:tx>
            <c:strRef>
              <c:f>'2010 Q3 Combined '!$I$16</c:f>
              <c:strCache>
                <c:ptCount val="1"/>
                <c:pt idx="0">
                  <c:v>75%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'2010 Q3 Combined '!$I$17:$I$23</c:f>
              <c:numCache>
                <c:formatCode>0%</c:formatCode>
                <c:ptCount val="7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33632"/>
        <c:axId val="113735552"/>
      </c:lineChart>
      <c:catAx>
        <c:axId val="11373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373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735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3733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9061095869803605"/>
          <c:y val="0.93239554914790579"/>
          <c:w val="0.770491720209182"/>
          <c:h val="0.9915504787253706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2010 Combined Funds Expenditures by Function Area</a:t>
            </a:r>
          </a:p>
        </c:rich>
      </c:tx>
      <c:layout>
        <c:manualLayout>
          <c:xMode val="edge"/>
          <c:yMode val="edge"/>
          <c:x val="0.22056634323424504"/>
          <c:y val="3.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4128166915052"/>
          <c:y val="0.12259615384615399"/>
          <c:w val="0.87779433681073094"/>
          <c:h val="0.5360576923076926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'2010 Q3 Combined '!$D$49</c:f>
              <c:strCache>
                <c:ptCount val="1"/>
                <c:pt idx="0">
                  <c:v>YTD Expenditures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Combined'!$A$49:$B$61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'2010 Q3 Combined '!$D$50:$D$62</c:f>
              <c:numCache>
                <c:formatCode>_(* #,##0_);_(* \(#,##0\);_(* "-"??_);_(@_)</c:formatCode>
                <c:ptCount val="13"/>
                <c:pt idx="0" formatCode="&quot;$&quot;#,##0_);[Red]\(&quot;$&quot;#,##0\)">
                  <c:v>202151.94</c:v>
                </c:pt>
                <c:pt idx="1">
                  <c:v>1981304.88</c:v>
                </c:pt>
                <c:pt idx="2">
                  <c:v>35056726.109999999</c:v>
                </c:pt>
                <c:pt idx="3">
                  <c:v>2325326.02</c:v>
                </c:pt>
                <c:pt idx="4">
                  <c:v>7648186.1399999997</c:v>
                </c:pt>
                <c:pt idx="5">
                  <c:v>26634545.899999999</c:v>
                </c:pt>
                <c:pt idx="6">
                  <c:v>13766280.4</c:v>
                </c:pt>
                <c:pt idx="7">
                  <c:v>11991182.59</c:v>
                </c:pt>
                <c:pt idx="8">
                  <c:v>7962812.9000000004</c:v>
                </c:pt>
                <c:pt idx="9">
                  <c:v>12073599.41</c:v>
                </c:pt>
                <c:pt idx="10">
                  <c:v>48274052.920000002</c:v>
                </c:pt>
                <c:pt idx="11">
                  <c:v>45912993.799999997</c:v>
                </c:pt>
                <c:pt idx="12">
                  <c:v>26147759.859999999</c:v>
                </c:pt>
              </c:numCache>
            </c:numRef>
          </c:val>
        </c:ser>
        <c:ser>
          <c:idx val="1"/>
          <c:order val="1"/>
          <c:tx>
            <c:strRef>
              <c:f>'2010 Q3 Combined '!$H$49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Combined'!$A$49:$B$61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'2010 Q3 Combined '!$H$50:$H$62</c:f>
              <c:numCache>
                <c:formatCode>"$"#,##0_);[Red]\("$"#,##0\)</c:formatCode>
                <c:ptCount val="13"/>
                <c:pt idx="0">
                  <c:v>144379.06</c:v>
                </c:pt>
                <c:pt idx="1">
                  <c:v>0</c:v>
                </c:pt>
                <c:pt idx="2" formatCode="#,##0">
                  <c:v>8608396.8900000006</c:v>
                </c:pt>
                <c:pt idx="3" formatCode="#,##0">
                  <c:v>937999.98</c:v>
                </c:pt>
                <c:pt idx="4" formatCode="#,##0">
                  <c:v>2956392.8600000003</c:v>
                </c:pt>
                <c:pt idx="5" formatCode="#,##0">
                  <c:v>14079915.100000001</c:v>
                </c:pt>
                <c:pt idx="6" formatCode="#,##0">
                  <c:v>3637790.5999999996</c:v>
                </c:pt>
                <c:pt idx="7" formatCode="#,##0">
                  <c:v>5422131.4100000001</c:v>
                </c:pt>
                <c:pt idx="8" formatCode="#,##0">
                  <c:v>2813014.0999999996</c:v>
                </c:pt>
                <c:pt idx="9" formatCode="#,##0">
                  <c:v>1340959.5899999999</c:v>
                </c:pt>
                <c:pt idx="10" formatCode="#,##0">
                  <c:v>17270714.079999998</c:v>
                </c:pt>
                <c:pt idx="11" formatCode="#,##0">
                  <c:v>0</c:v>
                </c:pt>
                <c:pt idx="12" formatCode="#,##0">
                  <c:v>461588.1400000006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769856"/>
        <c:axId val="113776128"/>
      </c:barChart>
      <c:lineChart>
        <c:grouping val="stacked"/>
        <c:varyColors val="0"/>
        <c:ser>
          <c:idx val="2"/>
          <c:order val="2"/>
          <c:tx>
            <c:strRef>
              <c:f>'2010 Q3 Combined '!$G$49</c:f>
              <c:strCache>
                <c:ptCount val="1"/>
                <c:pt idx="0">
                  <c:v>75%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'2010 Q3 Combined '!$I$50:$I$62</c:f>
              <c:numCache>
                <c:formatCode>0%</c:formatCode>
                <c:ptCount val="13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69856"/>
        <c:axId val="113776128"/>
      </c:lineChart>
      <c:catAx>
        <c:axId val="11376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3776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776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37698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7570788945499464"/>
          <c:y val="0.95112179487179482"/>
          <c:w val="0.81073019718689021"/>
          <c:h val="0.978365384615384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798144"/>
        <c:axId val="113804032"/>
      </c:barChart>
      <c:catAx>
        <c:axId val="11379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804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804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798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846528"/>
        <c:axId val="113848320"/>
      </c:barChart>
      <c:catAx>
        <c:axId val="11384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8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8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846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882624"/>
        <c:axId val="113884160"/>
      </c:barChart>
      <c:catAx>
        <c:axId val="11388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884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3884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8826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61984"/>
        <c:axId val="35169024"/>
      </c:barChart>
      <c:catAx>
        <c:axId val="3516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6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69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619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31008"/>
        <c:axId val="113932544"/>
      </c:barChart>
      <c:catAx>
        <c:axId val="11393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93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932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9310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% of Combined Funds Revenue 
Collected  thru 3rd Quarter of Fiscal Year</a:t>
            </a:r>
          </a:p>
        </c:rich>
      </c:tx>
      <c:layout>
        <c:manualLayout>
          <c:xMode val="edge"/>
          <c:yMode val="edge"/>
          <c:x val="0.33284061797664516"/>
          <c:y val="3.3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169E-2"/>
          <c:y val="0.24011365674009308"/>
          <c:w val="0.88609531459131363"/>
          <c:h val="0.54802411067738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'2010 Q3 Combined '!$M$16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Combined'!$J$17:$J$23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'2010 Q3 Combined '!$M$17:$M$23</c:f>
              <c:numCache>
                <c:formatCode>0.00%</c:formatCode>
                <c:ptCount val="7"/>
                <c:pt idx="0">
                  <c:v>0.98886048554666295</c:v>
                </c:pt>
                <c:pt idx="1">
                  <c:v>0.63369261643452213</c:v>
                </c:pt>
                <c:pt idx="2">
                  <c:v>0.87361508434292812</c:v>
                </c:pt>
                <c:pt idx="3">
                  <c:v>0.70982590367886222</c:v>
                </c:pt>
                <c:pt idx="4">
                  <c:v>0.62433291452503337</c:v>
                </c:pt>
                <c:pt idx="5">
                  <c:v>0.47472689031201948</c:v>
                </c:pt>
                <c:pt idx="6">
                  <c:v>0.99217454318239473</c:v>
                </c:pt>
              </c:numCache>
            </c:numRef>
          </c:val>
        </c:ser>
        <c:ser>
          <c:idx val="1"/>
          <c:order val="1"/>
          <c:tx>
            <c:strRef>
              <c:f>'2010 Q3 Combined '!$Q$16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Q3 Combined '!$Q$17:$Q$23</c:f>
              <c:numCache>
                <c:formatCode>0.00%</c:formatCode>
                <c:ptCount val="7"/>
                <c:pt idx="0">
                  <c:v>0.98798315400094683</c:v>
                </c:pt>
                <c:pt idx="1">
                  <c:v>0.79942505593614599</c:v>
                </c:pt>
                <c:pt idx="2">
                  <c:v>0.63639683062928198</c:v>
                </c:pt>
                <c:pt idx="3">
                  <c:v>0.706031054812857</c:v>
                </c:pt>
                <c:pt idx="4">
                  <c:v>0.74249291469389733</c:v>
                </c:pt>
                <c:pt idx="5">
                  <c:v>0.73839464178276082</c:v>
                </c:pt>
                <c:pt idx="6">
                  <c:v>0.23071765206786926</c:v>
                </c:pt>
              </c:numCache>
            </c:numRef>
          </c:val>
        </c:ser>
        <c:ser>
          <c:idx val="2"/>
          <c:order val="2"/>
          <c:tx>
            <c:strRef>
              <c:f>'2010 Q3 Combined '!$U$16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Q3 Combined '!$U$17:$U$23</c:f>
              <c:numCache>
                <c:formatCode>0.00%</c:formatCode>
                <c:ptCount val="7"/>
                <c:pt idx="0">
                  <c:v>0.98510735838324592</c:v>
                </c:pt>
                <c:pt idx="1">
                  <c:v>0.73029792771075508</c:v>
                </c:pt>
                <c:pt idx="2">
                  <c:v>0.67374579733413198</c:v>
                </c:pt>
                <c:pt idx="3">
                  <c:v>0.75062620331095742</c:v>
                </c:pt>
                <c:pt idx="4">
                  <c:v>0.73832356141597966</c:v>
                </c:pt>
                <c:pt idx="5">
                  <c:v>0.73458601843215743</c:v>
                </c:pt>
                <c:pt idx="6">
                  <c:v>0.2861524170433653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54816"/>
        <c:axId val="113956352"/>
      </c:barChart>
      <c:catAx>
        <c:axId val="11395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3956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95635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3954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751504864287171"/>
          <c:y val="0.91525690644601632"/>
          <c:w val="0.64497084571015451"/>
          <c:h val="0.9830538131886057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% of Combined Funds Expenditures 
Spent thru 3rd Quarter of Fiscal Year</a:t>
            </a:r>
          </a:p>
        </c:rich>
      </c:tx>
      <c:layout>
        <c:manualLayout>
          <c:xMode val="edge"/>
          <c:yMode val="edge"/>
          <c:x val="0.31722057678569993"/>
          <c:y val="3.00926818327847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44E-2"/>
          <c:y val="0.20370416418946283"/>
          <c:w val="0.88821752265861031"/>
          <c:h val="0.51389005056887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'2010 Q3 Combined '!$M$49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Combined'!$J$49:$J$61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'2010 Q3 Combined '!$M$50:$M$62</c:f>
              <c:numCache>
                <c:formatCode>0.00%</c:formatCode>
                <c:ptCount val="13"/>
                <c:pt idx="0">
                  <c:v>0.58335889141231234</c:v>
                </c:pt>
                <c:pt idx="1">
                  <c:v>1.8363813375993354</c:v>
                </c:pt>
                <c:pt idx="2">
                  <c:v>0.80285417059285502</c:v>
                </c:pt>
                <c:pt idx="3">
                  <c:v>0.71256320085703972</c:v>
                </c:pt>
                <c:pt idx="4">
                  <c:v>0.7212154428761387</c:v>
                </c:pt>
                <c:pt idx="5">
                  <c:v>0.65417901271000489</c:v>
                </c:pt>
                <c:pt idx="6">
                  <c:v>0.79098047807320482</c:v>
                </c:pt>
                <c:pt idx="7">
                  <c:v>0.68862151052924214</c:v>
                </c:pt>
                <c:pt idx="8">
                  <c:v>0.73895144196357276</c:v>
                </c:pt>
                <c:pt idx="9">
                  <c:v>0.9000369978618008</c:v>
                </c:pt>
                <c:pt idx="10">
                  <c:v>0.73650506561416262</c:v>
                </c:pt>
                <c:pt idx="11">
                  <c:v>2.3730917420551836</c:v>
                </c:pt>
                <c:pt idx="12">
                  <c:v>0.98265315858171343</c:v>
                </c:pt>
              </c:numCache>
            </c:numRef>
          </c:val>
        </c:ser>
        <c:ser>
          <c:idx val="1"/>
          <c:order val="1"/>
          <c:tx>
            <c:strRef>
              <c:f>'2010 Q3 Combined '!$Q$49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Q3 Combined '!$Q$50:$Q$62</c:f>
              <c:numCache>
                <c:formatCode>0.00%</c:formatCode>
                <c:ptCount val="13"/>
                <c:pt idx="0">
                  <c:v>0.63328731905696334</c:v>
                </c:pt>
                <c:pt idx="1">
                  <c:v>1.8164928879773741</c:v>
                </c:pt>
                <c:pt idx="2">
                  <c:v>0.79487038587086734</c:v>
                </c:pt>
                <c:pt idx="3">
                  <c:v>0.82191295713113721</c:v>
                </c:pt>
                <c:pt idx="4">
                  <c:v>0.66761999220812263</c:v>
                </c:pt>
                <c:pt idx="5">
                  <c:v>0.57483186816877063</c:v>
                </c:pt>
                <c:pt idx="6">
                  <c:v>0.69861526280912989</c:v>
                </c:pt>
                <c:pt idx="7">
                  <c:v>0.66091763845080798</c:v>
                </c:pt>
                <c:pt idx="8">
                  <c:v>0.70593584482403493</c:v>
                </c:pt>
                <c:pt idx="9">
                  <c:v>1.1890314728674238</c:v>
                </c:pt>
                <c:pt idx="10">
                  <c:v>0.69285779414316595</c:v>
                </c:pt>
                <c:pt idx="11">
                  <c:v>2.0922673523738018</c:v>
                </c:pt>
                <c:pt idx="12">
                  <c:v>0.89304128280775075</c:v>
                </c:pt>
              </c:numCache>
            </c:numRef>
          </c:val>
        </c:ser>
        <c:ser>
          <c:idx val="2"/>
          <c:order val="2"/>
          <c:tx>
            <c:strRef>
              <c:f>'2010 Q3 Combined '!$W$49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Q3 Combined '!$W$50:$W$62</c:f>
              <c:numCache>
                <c:formatCode>0.00%</c:formatCode>
                <c:ptCount val="13"/>
                <c:pt idx="0">
                  <c:v>0.68380236957737051</c:v>
                </c:pt>
                <c:pt idx="1">
                  <c:v>1.2452108269212006</c:v>
                </c:pt>
                <c:pt idx="2">
                  <c:v>0.79795696164539764</c:v>
                </c:pt>
                <c:pt idx="3">
                  <c:v>0.85435158409067102</c:v>
                </c:pt>
                <c:pt idx="4">
                  <c:v>0.68233298731137515</c:v>
                </c:pt>
                <c:pt idx="5">
                  <c:v>0.5540205676801947</c:v>
                </c:pt>
                <c:pt idx="6">
                  <c:v>0.70144232493292746</c:v>
                </c:pt>
                <c:pt idx="7">
                  <c:v>0.66545879056542434</c:v>
                </c:pt>
                <c:pt idx="8">
                  <c:v>0.70899500248443403</c:v>
                </c:pt>
                <c:pt idx="9">
                  <c:v>1.4629938402081082</c:v>
                </c:pt>
                <c:pt idx="10">
                  <c:v>0.71430861700959669</c:v>
                </c:pt>
                <c:pt idx="11">
                  <c:v>2.2429758955579722</c:v>
                </c:pt>
                <c:pt idx="12">
                  <c:v>0.86059840562600887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77984"/>
        <c:axId val="113992064"/>
      </c:barChart>
      <c:catAx>
        <c:axId val="11397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399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99206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3977984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51963688025235"/>
          <c:y val="0.96371527462069551"/>
          <c:w val="0.60271906378675144"/>
          <c:h val="0.995350996829784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2010 Combined Funds Revenue by Source</a:t>
            </a:r>
          </a:p>
        </c:rich>
      </c:tx>
      <c:layout>
        <c:manualLayout>
          <c:xMode val="edge"/>
          <c:yMode val="edge"/>
          <c:x val="0.27421764587118913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23E-2"/>
          <c:w val="0.87928464977645249"/>
          <c:h val="0.7323953735631806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'2010 Q4 Combined'!$D$16</c:f>
              <c:strCache>
                <c:ptCount val="1"/>
                <c:pt idx="0">
                  <c:v>YTD Collections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'2010 Q4 Combined'!$D$17:$D$23</c:f>
              <c:numCache>
                <c:formatCode>_(* #,##0_);_(* \(#,##0\);_(* "-"??_);_(@_)</c:formatCode>
                <c:ptCount val="7"/>
                <c:pt idx="0" formatCode="&quot;$&quot;#,##0_);[Red]\(&quot;$&quot;#,##0\)">
                  <c:v>175146677.47</c:v>
                </c:pt>
                <c:pt idx="1">
                  <c:v>254648.6</c:v>
                </c:pt>
                <c:pt idx="2">
                  <c:v>32364689.369999997</c:v>
                </c:pt>
                <c:pt idx="3">
                  <c:v>36866202.479999997</c:v>
                </c:pt>
                <c:pt idx="4">
                  <c:v>3808418.44</c:v>
                </c:pt>
                <c:pt idx="5">
                  <c:v>5366504.47</c:v>
                </c:pt>
                <c:pt idx="6">
                  <c:v>34778633.700000003</c:v>
                </c:pt>
              </c:numCache>
            </c:numRef>
          </c:val>
        </c:ser>
        <c:ser>
          <c:idx val="1"/>
          <c:order val="1"/>
          <c:tx>
            <c:strRef>
              <c:f>'2010 Q4 Combined'!$H$16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'2010 Q4 Combined'!$H$17:$H$23</c:f>
              <c:numCache>
                <c:formatCode>"$"#,##0_);[Red]\("$"#,##0\)</c:formatCode>
                <c:ptCount val="7"/>
                <c:pt idx="0">
                  <c:v>792828.53000000119</c:v>
                </c:pt>
                <c:pt idx="1">
                  <c:v>81205.399999999994</c:v>
                </c:pt>
                <c:pt idx="2" formatCode="#,##0_);[Red]\(#,##0\)">
                  <c:v>0</c:v>
                </c:pt>
                <c:pt idx="3" formatCode="#,##0_);[Red]\(#,##0\)">
                  <c:v>3485023.5200000033</c:v>
                </c:pt>
                <c:pt idx="4" formatCode="#,##0_);[Red]\(#,##0\)">
                  <c:v>787956.56</c:v>
                </c:pt>
                <c:pt idx="5" formatCode="#,##0_);[Red]\(#,##0\)">
                  <c:v>3239561.5300000003</c:v>
                </c:pt>
                <c:pt idx="6" formatCode="#,##0_);[Red]\(#,##0\)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318784"/>
        <c:axId val="119333248"/>
      </c:barChart>
      <c:lineChart>
        <c:grouping val="stacked"/>
        <c:varyColors val="0"/>
        <c:ser>
          <c:idx val="2"/>
          <c:order val="2"/>
          <c:tx>
            <c:strRef>
              <c:f>'2010 Q4 Combined'!$I$16</c:f>
              <c:strCache>
                <c:ptCount val="1"/>
                <c:pt idx="0">
                  <c:v>100%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'2010 Q4 Combined'!$I$17:$I$23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318784"/>
        <c:axId val="119333248"/>
      </c:lineChart>
      <c:catAx>
        <c:axId val="1193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9333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333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9318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9061095869803605"/>
          <c:y val="0.93239554914790579"/>
          <c:w val="0.770491720209182"/>
          <c:h val="0.9915504787253706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2010 Combined Funds Expenditures by Function Area</a:t>
            </a:r>
          </a:p>
        </c:rich>
      </c:tx>
      <c:layout>
        <c:manualLayout>
          <c:xMode val="edge"/>
          <c:yMode val="edge"/>
          <c:x val="0.22056634323424504"/>
          <c:y val="3.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4128166915052"/>
          <c:y val="0.12259615384615405"/>
          <c:w val="0.87779433681073116"/>
          <c:h val="0.5360576923076926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'2010 Q4 Combined'!$D$49</c:f>
              <c:strCache>
                <c:ptCount val="1"/>
                <c:pt idx="0">
                  <c:v>YTD Expenditures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Combined'!$A$49:$B$61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'2010 Q4 Combined'!$D$50:$D$62</c:f>
              <c:numCache>
                <c:formatCode>_(* #,##0_);_(* \(#,##0\);_(* "-"??_);_(@_)</c:formatCode>
                <c:ptCount val="13"/>
                <c:pt idx="0" formatCode="&quot;$&quot;#,##0_);[Red]\(&quot;$&quot;#,##0\)">
                  <c:v>277303.21999999997</c:v>
                </c:pt>
                <c:pt idx="1">
                  <c:v>3117445.65</c:v>
                </c:pt>
                <c:pt idx="2">
                  <c:v>43835701.119999997</c:v>
                </c:pt>
                <c:pt idx="3">
                  <c:v>2817949.94</c:v>
                </c:pt>
                <c:pt idx="4">
                  <c:v>9887771.1099999994</c:v>
                </c:pt>
                <c:pt idx="5">
                  <c:v>36772209.93</c:v>
                </c:pt>
                <c:pt idx="6">
                  <c:v>18387852.719999999</c:v>
                </c:pt>
                <c:pt idx="7">
                  <c:v>15762855.52</c:v>
                </c:pt>
                <c:pt idx="8">
                  <c:v>10557932.050000001</c:v>
                </c:pt>
                <c:pt idx="9">
                  <c:v>20392925.18</c:v>
                </c:pt>
                <c:pt idx="10">
                  <c:v>64205573.079999998</c:v>
                </c:pt>
                <c:pt idx="11">
                  <c:v>56132638.170000002</c:v>
                </c:pt>
                <c:pt idx="12">
                  <c:v>33042450.420000002</c:v>
                </c:pt>
              </c:numCache>
            </c:numRef>
          </c:val>
        </c:ser>
        <c:ser>
          <c:idx val="1"/>
          <c:order val="1"/>
          <c:tx>
            <c:strRef>
              <c:f>'2010 Q4 Combined'!$H$49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Combined'!$A$49:$B$61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'2010 Q4 Combined'!$H$50:$H$62</c:f>
              <c:numCache>
                <c:formatCode>"$"#,##0_);[Red]\("$"#,##0\)</c:formatCode>
                <c:ptCount val="13"/>
                <c:pt idx="0">
                  <c:v>69227.780000000028</c:v>
                </c:pt>
                <c:pt idx="1">
                  <c:v>0</c:v>
                </c:pt>
                <c:pt idx="2" formatCode="#,##0">
                  <c:v>0</c:v>
                </c:pt>
                <c:pt idx="3" formatCode="#,##0">
                  <c:v>445376.06000000006</c:v>
                </c:pt>
                <c:pt idx="4" formatCode="#,##0">
                  <c:v>716807.8900000006</c:v>
                </c:pt>
                <c:pt idx="5" formatCode="#,##0">
                  <c:v>3942251.0700000003</c:v>
                </c:pt>
                <c:pt idx="6" formatCode="#,##0">
                  <c:v>0</c:v>
                </c:pt>
                <c:pt idx="7" formatCode="#,##0">
                  <c:v>1650458.4800000004</c:v>
                </c:pt>
                <c:pt idx="8" formatCode="#,##0">
                  <c:v>217894.94999999925</c:v>
                </c:pt>
                <c:pt idx="9" formatCode="#,##0">
                  <c:v>0</c:v>
                </c:pt>
                <c:pt idx="10" formatCode="#,##0">
                  <c:v>1339193.9200000018</c:v>
                </c:pt>
                <c:pt idx="11" formatCode="#,##0">
                  <c:v>0</c:v>
                </c:pt>
                <c:pt idx="12" formatCode="#,##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433472"/>
        <c:axId val="119435648"/>
      </c:barChart>
      <c:lineChart>
        <c:grouping val="stacked"/>
        <c:varyColors val="0"/>
        <c:ser>
          <c:idx val="2"/>
          <c:order val="2"/>
          <c:tx>
            <c:strRef>
              <c:f>'2010 Q4 Combined'!$G$49</c:f>
              <c:strCache>
                <c:ptCount val="1"/>
                <c:pt idx="0">
                  <c:v>100%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'2010 Q4 Combined'!$I$50:$I$62</c:f>
              <c:numCache>
                <c:formatCode>0%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33472"/>
        <c:axId val="119435648"/>
      </c:lineChart>
      <c:catAx>
        <c:axId val="11943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9435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435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9433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7570788945499464"/>
          <c:y val="0.95112179487179482"/>
          <c:w val="0.81073019718689021"/>
          <c:h val="0.978365384615384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70336"/>
        <c:axId val="119480320"/>
      </c:barChart>
      <c:catAx>
        <c:axId val="11947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480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480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470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518720"/>
        <c:axId val="119520256"/>
      </c:barChart>
      <c:catAx>
        <c:axId val="11951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520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520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518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004736"/>
        <c:axId val="114006272"/>
      </c:barChart>
      <c:catAx>
        <c:axId val="11400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006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00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0047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574528"/>
        <c:axId val="119576064"/>
      </c:barChart>
      <c:catAx>
        <c:axId val="11957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576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576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574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% of Combined Funds Revenue 
Collected  thru 4th Quarter of Fiscal Year</a:t>
            </a:r>
          </a:p>
        </c:rich>
      </c:tx>
      <c:layout>
        <c:manualLayout>
          <c:xMode val="edge"/>
          <c:yMode val="edge"/>
          <c:x val="0.33284061797664516"/>
          <c:y val="3.3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252E-2"/>
          <c:y val="0.24011365674009313"/>
          <c:w val="0.88609531459131363"/>
          <c:h val="0.54802411067738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'2010 Q4 Combined'!$M$16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Combined'!$J$17:$J$23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'2010 Q4 Combined'!$M$17:$M$23</c:f>
              <c:numCache>
                <c:formatCode>0.00%</c:formatCode>
                <c:ptCount val="7"/>
                <c:pt idx="0">
                  <c:v>0.99549374357115672</c:v>
                </c:pt>
                <c:pt idx="1">
                  <c:v>0.75821219934852646</c:v>
                </c:pt>
                <c:pt idx="2">
                  <c:v>3.0068764780196284</c:v>
                </c:pt>
                <c:pt idx="3">
                  <c:v>0.91363277239705176</c:v>
                </c:pt>
                <c:pt idx="4">
                  <c:v>0.82857000135976722</c:v>
                </c:pt>
                <c:pt idx="5">
                  <c:v>0.62357231166946658</c:v>
                </c:pt>
                <c:pt idx="6">
                  <c:v>1.1667095405097265</c:v>
                </c:pt>
              </c:numCache>
            </c:numRef>
          </c:val>
        </c:ser>
        <c:ser>
          <c:idx val="1"/>
          <c:order val="1"/>
          <c:tx>
            <c:strRef>
              <c:f>'2010 Q4 Combined'!$Q$16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Q4 Combined'!$Q$17:$Q$23</c:f>
              <c:numCache>
                <c:formatCode>0.00%</c:formatCode>
                <c:ptCount val="7"/>
                <c:pt idx="0">
                  <c:v>0.99833297331119819</c:v>
                </c:pt>
                <c:pt idx="1">
                  <c:v>1.0000881967552482</c:v>
                </c:pt>
                <c:pt idx="2">
                  <c:v>0.98513686774403586</c:v>
                </c:pt>
                <c:pt idx="3">
                  <c:v>0.98179461380839894</c:v>
                </c:pt>
                <c:pt idx="4">
                  <c:v>0.98617186996776307</c:v>
                </c:pt>
                <c:pt idx="5">
                  <c:v>0.93782296769126183</c:v>
                </c:pt>
                <c:pt idx="6">
                  <c:v>0.96923422199602183</c:v>
                </c:pt>
              </c:numCache>
            </c:numRef>
          </c:val>
        </c:ser>
        <c:ser>
          <c:idx val="2"/>
          <c:order val="2"/>
          <c:tx>
            <c:strRef>
              <c:f>'2010 Q4 Combined'!$U$16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Q4 Combined'!$U$17:$U$23</c:f>
              <c:numCache>
                <c:formatCode>0.00%</c:formatCode>
                <c:ptCount val="7"/>
                <c:pt idx="0">
                  <c:v>1</c:v>
                </c:pt>
                <c:pt idx="1">
                  <c:v>1.0000000000000002</c:v>
                </c:pt>
                <c:pt idx="2">
                  <c:v>1</c:v>
                </c:pt>
                <c:pt idx="3">
                  <c:v>1.0000000000000002</c:v>
                </c:pt>
                <c:pt idx="4">
                  <c:v>0.99999999999999978</c:v>
                </c:pt>
                <c:pt idx="5">
                  <c:v>1</c:v>
                </c:pt>
                <c:pt idx="6">
                  <c:v>0.99999999999999989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585792"/>
        <c:axId val="121897728"/>
      </c:barChart>
      <c:catAx>
        <c:axId val="11958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1897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89772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95857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751504864287171"/>
          <c:y val="0.91525690644601632"/>
          <c:w val="0.64497084571015451"/>
          <c:h val="0.9830538131886057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55936"/>
        <c:axId val="36457856"/>
      </c:barChart>
      <c:catAx>
        <c:axId val="3645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57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457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55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% of Combined Funds Expenditures 
Spent thru 4th Quarter of Fiscal Year</a:t>
            </a:r>
          </a:p>
        </c:rich>
      </c:tx>
      <c:layout>
        <c:manualLayout>
          <c:xMode val="edge"/>
          <c:yMode val="edge"/>
          <c:x val="0.31722057678569993"/>
          <c:y val="3.00926818327847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538E-2"/>
          <c:y val="0.20370416418946294"/>
          <c:w val="0.88821752265861031"/>
          <c:h val="0.513890050568873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'2010 Q4 Combined'!$M$49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Combined'!$J$49:$J$61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'2010 Q4 Combined'!$M$50:$M$62</c:f>
              <c:numCache>
                <c:formatCode>0.00%</c:formatCode>
                <c:ptCount val="13"/>
                <c:pt idx="0">
                  <c:v>0.80022630010013529</c:v>
                </c:pt>
                <c:pt idx="1">
                  <c:v>2.8894185192943298</c:v>
                </c:pt>
                <c:pt idx="2">
                  <c:v>1.0039065072598101</c:v>
                </c:pt>
                <c:pt idx="3">
                  <c:v>0.86352081894361765</c:v>
                </c:pt>
                <c:pt idx="4">
                  <c:v>0.93240581356412167</c:v>
                </c:pt>
                <c:pt idx="5">
                  <c:v>0.90317319760170711</c:v>
                </c:pt>
                <c:pt idx="6">
                  <c:v>1.056525954186236</c:v>
                </c:pt>
                <c:pt idx="7">
                  <c:v>0.90521858848924441</c:v>
                </c:pt>
                <c:pt idx="8">
                  <c:v>0.97977928283369808</c:v>
                </c:pt>
                <c:pt idx="9">
                  <c:v>1.5202083929855614</c:v>
                </c:pt>
                <c:pt idx="10">
                  <c:v>0.97956825569308981</c:v>
                </c:pt>
                <c:pt idx="11">
                  <c:v>2.9013115694711811</c:v>
                </c:pt>
                <c:pt idx="12">
                  <c:v>1.241760993918378</c:v>
                </c:pt>
              </c:numCache>
            </c:numRef>
          </c:val>
        </c:ser>
        <c:ser>
          <c:idx val="1"/>
          <c:order val="1"/>
          <c:tx>
            <c:strRef>
              <c:f>'2010 Q4 Combined'!$Q$49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Q4 Combined'!$Q$50:$Q$62</c:f>
              <c:numCache>
                <c:formatCode>0.00%</c:formatCode>
                <c:ptCount val="13"/>
                <c:pt idx="0">
                  <c:v>0.91339774763245474</c:v>
                </c:pt>
                <c:pt idx="1">
                  <c:v>3.293316700021502</c:v>
                </c:pt>
                <c:pt idx="2">
                  <c:v>1.1196506639892527</c:v>
                </c:pt>
                <c:pt idx="3">
                  <c:v>1.0178600205740072</c:v>
                </c:pt>
                <c:pt idx="4">
                  <c:v>0.93312835994916321</c:v>
                </c:pt>
                <c:pt idx="5">
                  <c:v>0.75119452820314203</c:v>
                </c:pt>
                <c:pt idx="6">
                  <c:v>0.9771064760769782</c:v>
                </c:pt>
                <c:pt idx="7">
                  <c:v>0.8992203994047</c:v>
                </c:pt>
                <c:pt idx="8">
                  <c:v>0.97645243344170496</c:v>
                </c:pt>
                <c:pt idx="9">
                  <c:v>1.4466227190267889</c:v>
                </c:pt>
                <c:pt idx="10">
                  <c:v>0.95265627591359714</c:v>
                </c:pt>
                <c:pt idx="11">
                  <c:v>2.8317123542382272</c:v>
                </c:pt>
                <c:pt idx="12">
                  <c:v>2.9363479126607714</c:v>
                </c:pt>
              </c:numCache>
            </c:numRef>
          </c:val>
        </c:ser>
        <c:ser>
          <c:idx val="2"/>
          <c:order val="2"/>
          <c:tx>
            <c:strRef>
              <c:f>'2010 Q4 Combined'!$W$49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Q4 Combined'!$W$50:$W$62</c:f>
              <c:numCache>
                <c:formatCode>0.00%</c:formatCode>
                <c:ptCount val="13"/>
                <c:pt idx="0">
                  <c:v>1.463311682875253</c:v>
                </c:pt>
                <c:pt idx="1">
                  <c:v>1.7201254879461356</c:v>
                </c:pt>
                <c:pt idx="2">
                  <c:v>1.266194014153956</c:v>
                </c:pt>
                <c:pt idx="3">
                  <c:v>1.1922688567301507</c:v>
                </c:pt>
                <c:pt idx="4">
                  <c:v>0.9792846141267435</c:v>
                </c:pt>
                <c:pt idx="5">
                  <c:v>0.72324659563247307</c:v>
                </c:pt>
                <c:pt idx="6">
                  <c:v>1.0353833641666419</c:v>
                </c:pt>
                <c:pt idx="7">
                  <c:v>0.94441951878539865</c:v>
                </c:pt>
                <c:pt idx="8">
                  <c:v>0.99117315961722907</c:v>
                </c:pt>
                <c:pt idx="9">
                  <c:v>2.3804528290099753</c:v>
                </c:pt>
                <c:pt idx="10">
                  <c:v>1.0019460967434766</c:v>
                </c:pt>
                <c:pt idx="11">
                  <c:v>3.703159182415618</c:v>
                </c:pt>
                <c:pt idx="12">
                  <c:v>1.6007110297278357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936128"/>
        <c:axId val="121942016"/>
      </c:barChart>
      <c:catAx>
        <c:axId val="12193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1942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94201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1936128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51963688025235"/>
          <c:y val="0.96371527462069551"/>
          <c:w val="0.60271906378675144"/>
          <c:h val="0.995350996829784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662272"/>
        <c:axId val="36744576"/>
      </c:barChart>
      <c:catAx>
        <c:axId val="3666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744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744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6622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716864"/>
        <c:axId val="73719168"/>
      </c:barChart>
      <c:catAx>
        <c:axId val="737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719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719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7168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% of Combined Funds Revenue 
Collected  thru 3rd Quarter of Fiscal Year (Excluding Bond Funds) </a:t>
            </a:r>
          </a:p>
        </c:rich>
      </c:tx>
      <c:layout>
        <c:manualLayout>
          <c:xMode val="edge"/>
          <c:yMode val="edge"/>
          <c:x val="0.15896441938840486"/>
          <c:y val="1.83944332539827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'2013 Q3 Combined'!$M$16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D5635"/>
            </a:solidFill>
          </c:spPr>
          <c:invertIfNegative val="0"/>
          <c:val>
            <c:numRef>
              <c:f>'2013 Q3 Combined'!$M$17:$M$23</c:f>
              <c:numCache>
                <c:formatCode>0.00%</c:formatCode>
                <c:ptCount val="7"/>
                <c:pt idx="0">
                  <c:v>1.0044076124258892</c:v>
                </c:pt>
                <c:pt idx="1">
                  <c:v>1.0377741935483871</c:v>
                </c:pt>
                <c:pt idx="2">
                  <c:v>1.3774328516388286</c:v>
                </c:pt>
                <c:pt idx="3">
                  <c:v>0.66658926937658902</c:v>
                </c:pt>
                <c:pt idx="4">
                  <c:v>0.8471044188275525</c:v>
                </c:pt>
                <c:pt idx="5">
                  <c:v>0.43772936216364944</c:v>
                </c:pt>
                <c:pt idx="6">
                  <c:v>1.6214689458686895</c:v>
                </c:pt>
              </c:numCache>
            </c:numRef>
          </c:val>
        </c:ser>
        <c:ser>
          <c:idx val="4"/>
          <c:order val="1"/>
          <c:tx>
            <c:strRef>
              <c:f>'2013 Q3 Combined'!$P$16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'2013 Q3 Combined'!$P$17:$P$23</c:f>
              <c:numCache>
                <c:formatCode>0.00%</c:formatCode>
                <c:ptCount val="7"/>
                <c:pt idx="0">
                  <c:v>1.0074649728819636</c:v>
                </c:pt>
                <c:pt idx="1">
                  <c:v>0.82795576168391005</c:v>
                </c:pt>
                <c:pt idx="2">
                  <c:v>1.3753679460319215</c:v>
                </c:pt>
                <c:pt idx="3">
                  <c:v>0.80552856757242663</c:v>
                </c:pt>
                <c:pt idx="4">
                  <c:v>0.81297170462387858</c:v>
                </c:pt>
                <c:pt idx="5">
                  <c:v>0.53453660092423949</c:v>
                </c:pt>
                <c:pt idx="6">
                  <c:v>1.1448709061759383</c:v>
                </c:pt>
              </c:numCache>
            </c:numRef>
          </c:val>
        </c:ser>
        <c:ser>
          <c:idx val="3"/>
          <c:order val="2"/>
          <c:tx>
            <c:strRef>
              <c:f>'2013 Q3 Combined'!$T$16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'2013 Q3 Combined'!$T$17:$T$23</c:f>
              <c:numCache>
                <c:formatCode>0.00%</c:formatCode>
                <c:ptCount val="7"/>
                <c:pt idx="0">
                  <c:v>0.99192059995722792</c:v>
                </c:pt>
                <c:pt idx="1">
                  <c:v>0.82592722904245242</c:v>
                </c:pt>
                <c:pt idx="2">
                  <c:v>0.7261304990803934</c:v>
                </c:pt>
                <c:pt idx="3">
                  <c:v>0.75423697281296098</c:v>
                </c:pt>
                <c:pt idx="4">
                  <c:v>0.70160805615275945</c:v>
                </c:pt>
                <c:pt idx="5">
                  <c:v>0.66109124245502449</c:v>
                </c:pt>
                <c:pt idx="6">
                  <c:v>0.91803498131989469</c:v>
                </c:pt>
              </c:numCache>
            </c:numRef>
          </c:val>
        </c:ser>
        <c:ser>
          <c:idx val="0"/>
          <c:order val="3"/>
          <c:tx>
            <c:strRef>
              <c:f>'2013 Q3 Combined'!$X$16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</c:spPr>
          <c:invertIfNegative val="0"/>
          <c:cat>
            <c:strRef>
              <c:f>'2013 Q3 Combined'!$J$17:$J$23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Misc., Transfers, Ins.</c:v>
                </c:pt>
              </c:strCache>
            </c:strRef>
          </c:cat>
          <c:val>
            <c:numRef>
              <c:f>'2013 Q3 Combined'!$X$17:$X$23</c:f>
              <c:numCache>
                <c:formatCode>0.00%</c:formatCode>
                <c:ptCount val="7"/>
                <c:pt idx="0">
                  <c:v>0.99143609091920493</c:v>
                </c:pt>
                <c:pt idx="1">
                  <c:v>0.83243321469081244</c:v>
                </c:pt>
                <c:pt idx="2">
                  <c:v>0.53449476746066449</c:v>
                </c:pt>
                <c:pt idx="3">
                  <c:v>0.75913308111364508</c:v>
                </c:pt>
                <c:pt idx="4">
                  <c:v>0.74601284122335298</c:v>
                </c:pt>
                <c:pt idx="5">
                  <c:v>0.93620944488505375</c:v>
                </c:pt>
                <c:pt idx="6">
                  <c:v>0.84142731728142306</c:v>
                </c:pt>
              </c:numCache>
            </c:numRef>
          </c:val>
        </c:ser>
        <c:ser>
          <c:idx val="1"/>
          <c:order val="4"/>
          <c:tx>
            <c:strRef>
              <c:f>'2013 Q3 Combined'!$AB$16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</c:spPr>
          <c:invertIfNegative val="0"/>
          <c:val>
            <c:numRef>
              <c:f>'2013 Q3 Combined'!$AB$17:$AB$23</c:f>
              <c:numCache>
                <c:formatCode>0.00%</c:formatCode>
                <c:ptCount val="7"/>
                <c:pt idx="0">
                  <c:v>0.98807071423905934</c:v>
                </c:pt>
                <c:pt idx="1">
                  <c:v>0.79942505593614599</c:v>
                </c:pt>
                <c:pt idx="2">
                  <c:v>0.65193959182069483</c:v>
                </c:pt>
                <c:pt idx="3">
                  <c:v>0.70603104953920837</c:v>
                </c:pt>
                <c:pt idx="4">
                  <c:v>0.74249294946675537</c:v>
                </c:pt>
                <c:pt idx="5">
                  <c:v>0.98605817328150058</c:v>
                </c:pt>
                <c:pt idx="6">
                  <c:v>0.34505316458092422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665024"/>
        <c:axId val="104092800"/>
      </c:barChart>
      <c:catAx>
        <c:axId val="10366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104092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092800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3665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019382192610541"/>
          <c:y val="0.89957053042788249"/>
          <c:w val="0.45054916807965378"/>
          <c:h val="5.6730708661417321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400"/>
              <a:t>% of Combined Funds Expenditures 
Spent thru 3rd Quarter of Fiscal Year (Excluding Bond Funds)</a:t>
            </a:r>
          </a:p>
        </c:rich>
      </c:tx>
      <c:layout>
        <c:manualLayout>
          <c:xMode val="edge"/>
          <c:yMode val="edge"/>
          <c:x val="0.16012084592145015"/>
          <c:y val="2.63797288496832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153063570981126E-2"/>
          <c:y val="0.17495076273360569"/>
          <c:w val="0.8981798574271872"/>
          <c:h val="0.57809938231405289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'2013 Q3 Combined'!$M$48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D5635"/>
            </a:solidFill>
          </c:spPr>
          <c:invertIfNegative val="0"/>
          <c:val>
            <c:numRef>
              <c:f>'2013 Q3 Combined'!$M$49:$M$61</c:f>
              <c:numCache>
                <c:formatCode>0.00%</c:formatCode>
                <c:ptCount val="13"/>
                <c:pt idx="0">
                  <c:v>0.73604565513555087</c:v>
                </c:pt>
                <c:pt idx="1">
                  <c:v>0.75911511581159119</c:v>
                </c:pt>
                <c:pt idx="2">
                  <c:v>0.84205166967325873</c:v>
                </c:pt>
                <c:pt idx="3">
                  <c:v>0.60419601938767531</c:v>
                </c:pt>
                <c:pt idx="4">
                  <c:v>0.66480615571487744</c:v>
                </c:pt>
                <c:pt idx="5">
                  <c:v>0.58213391036457074</c:v>
                </c:pt>
                <c:pt idx="6">
                  <c:v>0.71753672259822721</c:v>
                </c:pt>
                <c:pt idx="7">
                  <c:v>0.66910400516276902</c:v>
                </c:pt>
                <c:pt idx="8">
                  <c:v>0.68644681229739424</c:v>
                </c:pt>
                <c:pt idx="9">
                  <c:v>0.74172577934953299</c:v>
                </c:pt>
                <c:pt idx="10">
                  <c:v>0.71370322158259436</c:v>
                </c:pt>
                <c:pt idx="11">
                  <c:v>0.72896873834448572</c:v>
                </c:pt>
                <c:pt idx="12">
                  <c:v>1.3917169223605426</c:v>
                </c:pt>
              </c:numCache>
            </c:numRef>
          </c:val>
        </c:ser>
        <c:ser>
          <c:idx val="4"/>
          <c:order val="1"/>
          <c:tx>
            <c:strRef>
              <c:f>'2013 Q3 Combined'!$P$48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'2013 Q3 Combined'!$P$49:$P$61</c:f>
              <c:numCache>
                <c:formatCode>0.00%</c:formatCode>
                <c:ptCount val="13"/>
                <c:pt idx="0">
                  <c:v>0.59865322742315541</c:v>
                </c:pt>
                <c:pt idx="1">
                  <c:v>0.77490209389215026</c:v>
                </c:pt>
                <c:pt idx="2">
                  <c:v>0.81763031901828143</c:v>
                </c:pt>
                <c:pt idx="3">
                  <c:v>0.56812063348740993</c:v>
                </c:pt>
                <c:pt idx="4">
                  <c:v>0.7182275958060278</c:v>
                </c:pt>
                <c:pt idx="5">
                  <c:v>0.58363798889933449</c:v>
                </c:pt>
                <c:pt idx="6">
                  <c:v>0.70715293339571728</c:v>
                </c:pt>
                <c:pt idx="7">
                  <c:v>0.68900265740467004</c:v>
                </c:pt>
                <c:pt idx="8">
                  <c:v>0.71233717104634675</c:v>
                </c:pt>
                <c:pt idx="9">
                  <c:v>0.62502905902200667</c:v>
                </c:pt>
                <c:pt idx="10">
                  <c:v>0.73529943577976709</c:v>
                </c:pt>
                <c:pt idx="11">
                  <c:v>0.79064899367886698</c:v>
                </c:pt>
                <c:pt idx="12">
                  <c:v>0.93346091917627383</c:v>
                </c:pt>
              </c:numCache>
            </c:numRef>
          </c:val>
        </c:ser>
        <c:ser>
          <c:idx val="3"/>
          <c:order val="2"/>
          <c:tx>
            <c:strRef>
              <c:f>'2013 Q3 Combined'!$T$48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'2013 Q3 Combined'!$T$49:$T$61</c:f>
              <c:numCache>
                <c:formatCode>0.00%</c:formatCode>
                <c:ptCount val="13"/>
                <c:pt idx="0">
                  <c:v>0.59350638510975706</c:v>
                </c:pt>
                <c:pt idx="1">
                  <c:v>0.74170964001085637</c:v>
                </c:pt>
                <c:pt idx="2">
                  <c:v>0.86153305064868768</c:v>
                </c:pt>
                <c:pt idx="3">
                  <c:v>0.68182819341371548</c:v>
                </c:pt>
                <c:pt idx="4">
                  <c:v>0.71069212807735571</c:v>
                </c:pt>
                <c:pt idx="5">
                  <c:v>0.57871788579122574</c:v>
                </c:pt>
                <c:pt idx="6">
                  <c:v>0.70139204606958061</c:v>
                </c:pt>
                <c:pt idx="7">
                  <c:v>0.69853566172127834</c:v>
                </c:pt>
                <c:pt idx="8">
                  <c:v>0.72441157277682577</c:v>
                </c:pt>
                <c:pt idx="9">
                  <c:v>1.4698695640208952</c:v>
                </c:pt>
                <c:pt idx="10">
                  <c:v>0.73576741905788501</c:v>
                </c:pt>
                <c:pt idx="11">
                  <c:v>0.88446711889726015</c:v>
                </c:pt>
                <c:pt idx="12">
                  <c:v>1.7594773712713203</c:v>
                </c:pt>
              </c:numCache>
            </c:numRef>
          </c:val>
        </c:ser>
        <c:ser>
          <c:idx val="0"/>
          <c:order val="3"/>
          <c:tx>
            <c:strRef>
              <c:f>'2013 Q3 Combined'!$X$48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</c:spPr>
          <c:invertIfNegative val="0"/>
          <c:cat>
            <c:strRef>
              <c:f>'2013 Q3 Combined'!$J$49:$J$61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 Admin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Unclassified</c:v>
                </c:pt>
              </c:strCache>
            </c:strRef>
          </c:cat>
          <c:val>
            <c:numRef>
              <c:f>'2013 Q3 Combined'!$X$49:$X$61</c:f>
              <c:numCache>
                <c:formatCode>0.00%</c:formatCode>
                <c:ptCount val="13"/>
                <c:pt idx="0">
                  <c:v>0.58335889141231234</c:v>
                </c:pt>
                <c:pt idx="1">
                  <c:v>1.8363813375993354</c:v>
                </c:pt>
                <c:pt idx="2">
                  <c:v>0.80285417059285502</c:v>
                </c:pt>
                <c:pt idx="3">
                  <c:v>0.71256320085703972</c:v>
                </c:pt>
                <c:pt idx="4">
                  <c:v>0.7212154428761387</c:v>
                </c:pt>
                <c:pt idx="5">
                  <c:v>0.65417901271000489</c:v>
                </c:pt>
                <c:pt idx="6">
                  <c:v>0.79098047807320482</c:v>
                </c:pt>
                <c:pt idx="7">
                  <c:v>0.68862151052924214</c:v>
                </c:pt>
                <c:pt idx="8">
                  <c:v>0.73895144196357276</c:v>
                </c:pt>
                <c:pt idx="9">
                  <c:v>0.9000369978618008</c:v>
                </c:pt>
                <c:pt idx="10">
                  <c:v>0.73650506561416262</c:v>
                </c:pt>
                <c:pt idx="11">
                  <c:v>2.3730917420551836</c:v>
                </c:pt>
                <c:pt idx="12">
                  <c:v>0.98265315858171343</c:v>
                </c:pt>
              </c:numCache>
            </c:numRef>
          </c:val>
        </c:ser>
        <c:ser>
          <c:idx val="1"/>
          <c:order val="4"/>
          <c:tx>
            <c:strRef>
              <c:f>'2013 Q3 Combined'!$AB$48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</c:spPr>
          <c:invertIfNegative val="0"/>
          <c:val>
            <c:numRef>
              <c:f>'2013 Q3 Combined'!$AB$49:$AB$61</c:f>
              <c:numCache>
                <c:formatCode>0.00%</c:formatCode>
                <c:ptCount val="13"/>
                <c:pt idx="0">
                  <c:v>0.63328731905696334</c:v>
                </c:pt>
                <c:pt idx="1">
                  <c:v>1.8164928879773741</c:v>
                </c:pt>
                <c:pt idx="2">
                  <c:v>0.79487038587086734</c:v>
                </c:pt>
                <c:pt idx="3">
                  <c:v>0.82191295713113721</c:v>
                </c:pt>
                <c:pt idx="4">
                  <c:v>0.66761999220812263</c:v>
                </c:pt>
                <c:pt idx="5">
                  <c:v>0.57483186816877063</c:v>
                </c:pt>
                <c:pt idx="6">
                  <c:v>0.69861526280912989</c:v>
                </c:pt>
                <c:pt idx="7">
                  <c:v>0.66091763845080798</c:v>
                </c:pt>
                <c:pt idx="8">
                  <c:v>0.70593584482403493</c:v>
                </c:pt>
                <c:pt idx="9">
                  <c:v>1.1890314728674238</c:v>
                </c:pt>
                <c:pt idx="10">
                  <c:v>0.69285779414316595</c:v>
                </c:pt>
                <c:pt idx="11">
                  <c:v>2.0922673523738018</c:v>
                </c:pt>
                <c:pt idx="12">
                  <c:v>0.89304128280775075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578496"/>
        <c:axId val="110645248"/>
      </c:barChart>
      <c:catAx>
        <c:axId val="10957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/>
            </a:pPr>
            <a:endParaRPr lang="en-US"/>
          </a:p>
        </c:txPr>
        <c:crossAx val="11064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645248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95784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513872699447312"/>
          <c:y val="0.91711443964241313"/>
          <c:w val="0.44853502073570106"/>
          <c:h val="5.6730708661417321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FY 2013 Combined Funds Revenue by Source (Excl Bond Funds)</a:t>
            </a:r>
          </a:p>
        </c:rich>
      </c:tx>
      <c:layout>
        <c:manualLayout>
          <c:xMode val="edge"/>
          <c:yMode val="edge"/>
          <c:x val="0.14428216592151019"/>
          <c:y val="1.935680591178949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418777943368111E-2"/>
          <c:y val="0.10836415379740402"/>
          <c:w val="0.87133631395926481"/>
          <c:h val="0.7141721521711835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'2013 Q2 Combined'!$D$16</c:f>
              <c:strCache>
                <c:ptCount val="1"/>
                <c:pt idx="0">
                  <c:v>YTD Collections as of 4/15/13</c:v>
                </c:pt>
              </c:strCache>
            </c:strRef>
          </c:tx>
          <c:invertIfNegative val="0"/>
          <c:cat>
            <c:strRef>
              <c:f>'2013 Q2 Combined'!$A$17:$B$23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Misc., Transfers, Ins.</c:v>
                </c:pt>
              </c:strCache>
            </c:strRef>
          </c:cat>
          <c:val>
            <c:numRef>
              <c:f>'2013 Q2 Combined'!$D$17:$D$23</c:f>
              <c:numCache>
                <c:formatCode>#,##0</c:formatCode>
                <c:ptCount val="7"/>
                <c:pt idx="0" formatCode="&quot;$&quot;#,##0_);\(&quot;$&quot;#,##0\)">
                  <c:v>176051306</c:v>
                </c:pt>
                <c:pt idx="1">
                  <c:v>165035</c:v>
                </c:pt>
                <c:pt idx="2">
                  <c:v>6980322</c:v>
                </c:pt>
                <c:pt idx="3">
                  <c:v>19274147</c:v>
                </c:pt>
                <c:pt idx="4">
                  <c:v>2081204</c:v>
                </c:pt>
                <c:pt idx="5">
                  <c:v>928058</c:v>
                </c:pt>
                <c:pt idx="6">
                  <c:v>24875316</c:v>
                </c:pt>
              </c:numCache>
            </c:numRef>
          </c:val>
        </c:ser>
        <c:ser>
          <c:idx val="1"/>
          <c:order val="1"/>
          <c:tx>
            <c:strRef>
              <c:f>'2013 Q2 Combined'!$H$16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wdDn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1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2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3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4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5"/>
            <c:invertIfNegative val="0"/>
            <c:bubble3D val="0"/>
            <c:spPr>
              <a:pattFill prst="dk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6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cat>
            <c:strRef>
              <c:f>'2013 Q2 Combined'!$A$17:$B$23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Misc., Transfers, Ins.</c:v>
                </c:pt>
              </c:strCache>
            </c:strRef>
          </c:cat>
          <c:val>
            <c:numRef>
              <c:f>'2013 Q2 Combined'!$H$17:$H$23</c:f>
              <c:numCache>
                <c:formatCode>"$"#,##0_);[Red]\("$"#,##0\)</c:formatCode>
                <c:ptCount val="7"/>
                <c:pt idx="0">
                  <c:v>2485263</c:v>
                </c:pt>
                <c:pt idx="1">
                  <c:v>113965</c:v>
                </c:pt>
                <c:pt idx="2" formatCode="#,##0_);[Red]\(#,##0\)">
                  <c:v>1806229</c:v>
                </c:pt>
                <c:pt idx="3" formatCode="#,##0_);[Red]\(#,##0\)">
                  <c:v>24965128</c:v>
                </c:pt>
                <c:pt idx="4" formatCode="#,##0_);[Red]\(#,##0\)">
                  <c:v>1588163</c:v>
                </c:pt>
                <c:pt idx="5" formatCode="#,##0_);[Red]\(#,##0\)">
                  <c:v>2066660</c:v>
                </c:pt>
                <c:pt idx="6" formatCode="#,##0_);[Red]\(#,##0\)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429312"/>
        <c:axId val="132432256"/>
      </c:barChart>
      <c:lineChart>
        <c:grouping val="stacked"/>
        <c:varyColors val="0"/>
        <c:ser>
          <c:idx val="2"/>
          <c:order val="2"/>
          <c:tx>
            <c:strRef>
              <c:f>'2013 Q2 Combined'!$I$16</c:f>
              <c:strCache>
                <c:ptCount val="1"/>
                <c:pt idx="0">
                  <c:v>50%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</c:spPr>
          </c:marker>
          <c:val>
            <c:numRef>
              <c:f>'2013 Q2 Combined'!$I$17:$I$23</c:f>
              <c:numCache>
                <c:formatCode>0%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429312"/>
        <c:axId val="132432256"/>
      </c:lineChart>
      <c:catAx>
        <c:axId val="13242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132432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4322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24293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9061100646223087"/>
          <c:y val="0.93239554914790579"/>
          <c:w val="0.47988081727525517"/>
          <c:h val="5.9154929577464821E-2"/>
        </c:manualLayout>
      </c:layout>
      <c:overlay val="0"/>
    </c:legend>
    <c:plotVisOnly val="1"/>
    <c:dispBlanksAs val="zero"/>
    <c:showDLblsOverMax val="0"/>
  </c:chart>
  <c:printSettings>
    <c:headerFooter alignWithMargins="0"/>
    <c:pageMargins b="1" l="0.75" r="0.75" t="1" header="0.5" footer="0.5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FY 2013 Combined Funds Expenditures by Function Area</a:t>
            </a:r>
            <a:r>
              <a:rPr lang="en-US" sz="1400" baseline="0"/>
              <a:t>    </a:t>
            </a:r>
            <a:r>
              <a:rPr lang="en-US" sz="1400"/>
              <a:t>           (Excluding Bond Funds)</a:t>
            </a:r>
          </a:p>
        </c:rich>
      </c:tx>
      <c:layout>
        <c:manualLayout>
          <c:xMode val="edge"/>
          <c:yMode val="edge"/>
          <c:x val="0.12575252981603827"/>
          <c:y val="2.95883944739465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418777943368111E-2"/>
          <c:y val="0.1573244623491831"/>
          <c:w val="0.85146547441629405"/>
          <c:h val="0.6006124234470691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'2013 Q2 Combined'!$D$48</c:f>
              <c:strCache>
                <c:ptCount val="1"/>
                <c:pt idx="0">
                  <c:v>YTD Expenditures as of 4/15/13</c:v>
                </c:pt>
              </c:strCache>
            </c:strRef>
          </c:tx>
          <c:invertIfNegative val="0"/>
          <c:cat>
            <c:strRef>
              <c:f>'2013 Q2 Combined'!$A$49:$B$61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Unclassified</c:v>
                </c:pt>
              </c:strCache>
            </c:strRef>
          </c:cat>
          <c:val>
            <c:numRef>
              <c:f>'2013 Q2 Combined'!$D$49:$D$61</c:f>
              <c:numCache>
                <c:formatCode>_(* #,##0_);_(* \(#,##0\);_(* "-"??_);_(@_)</c:formatCode>
                <c:ptCount val="13"/>
                <c:pt idx="0" formatCode="&quot;$&quot;#,##0_);\(&quot;$&quot;#,##0\)">
                  <c:v>162631</c:v>
                </c:pt>
                <c:pt idx="1">
                  <c:v>435155</c:v>
                </c:pt>
                <c:pt idx="2">
                  <c:v>37755658</c:v>
                </c:pt>
                <c:pt idx="3">
                  <c:v>1646423</c:v>
                </c:pt>
                <c:pt idx="4">
                  <c:v>4511835</c:v>
                </c:pt>
                <c:pt idx="5">
                  <c:v>13313040</c:v>
                </c:pt>
                <c:pt idx="6">
                  <c:v>8165779</c:v>
                </c:pt>
                <c:pt idx="7">
                  <c:v>7291602</c:v>
                </c:pt>
                <c:pt idx="8">
                  <c:v>4584178</c:v>
                </c:pt>
                <c:pt idx="9">
                  <c:v>6031850</c:v>
                </c:pt>
                <c:pt idx="10">
                  <c:v>28732880</c:v>
                </c:pt>
                <c:pt idx="11">
                  <c:v>9669404</c:v>
                </c:pt>
                <c:pt idx="12">
                  <c:v>17412028</c:v>
                </c:pt>
              </c:numCache>
            </c:numRef>
          </c:val>
        </c:ser>
        <c:ser>
          <c:idx val="1"/>
          <c:order val="1"/>
          <c:tx>
            <c:strRef>
              <c:f>'2013 Q2 Combined'!$H$48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ysClr val="window" lastClr="FFFFFF">
                  <a:lumMod val="65000"/>
                </a:sysClr>
              </a:fgClr>
              <a:bgClr>
                <a:sysClr val="window" lastClr="FFFFFF"/>
              </a:bgClr>
            </a:patt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cat>
            <c:strRef>
              <c:f>'2013 Q2 Combined'!$A$49:$B$61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Unclassified</c:v>
                </c:pt>
              </c:strCache>
            </c:strRef>
          </c:cat>
          <c:val>
            <c:numRef>
              <c:f>'2013 Q2 Combined'!$H$49:$H$61</c:f>
              <c:numCache>
                <c:formatCode>#,##0</c:formatCode>
                <c:ptCount val="13"/>
                <c:pt idx="0" formatCode="&quot;$&quot;#,##0_);[Red]\(&quot;$&quot;#,##0\)">
                  <c:v>144191</c:v>
                </c:pt>
                <c:pt idx="1">
                  <c:v>432936</c:v>
                </c:pt>
                <c:pt idx="2">
                  <c:v>7085810</c:v>
                </c:pt>
                <c:pt idx="3">
                  <c:v>2201176</c:v>
                </c:pt>
                <c:pt idx="4">
                  <c:v>6075400</c:v>
                </c:pt>
                <c:pt idx="5">
                  <c:v>23928618</c:v>
                </c:pt>
                <c:pt idx="6">
                  <c:v>9893673</c:v>
                </c:pt>
                <c:pt idx="7">
                  <c:v>10010741</c:v>
                </c:pt>
                <c:pt idx="8">
                  <c:v>5967716</c:v>
                </c:pt>
                <c:pt idx="9">
                  <c:v>6187186</c:v>
                </c:pt>
                <c:pt idx="10">
                  <c:v>33989181</c:v>
                </c:pt>
                <c:pt idx="11">
                  <c:v>10881491</c:v>
                </c:pt>
                <c:pt idx="12">
                  <c:v>2603117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524928"/>
        <c:axId val="28526848"/>
      </c:barChart>
      <c:lineChart>
        <c:grouping val="stacked"/>
        <c:varyColors val="0"/>
        <c:ser>
          <c:idx val="2"/>
          <c:order val="2"/>
          <c:tx>
            <c:strRef>
              <c:f>'2013 Q2 Combined'!$G$48</c:f>
              <c:strCache>
                <c:ptCount val="1"/>
                <c:pt idx="0">
                  <c:v>50%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</c:spPr>
          </c:marker>
          <c:val>
            <c:numRef>
              <c:f>'2013 Q2 Combined'!$I$49:$I$61</c:f>
              <c:numCache>
                <c:formatCode>0%</c:formatCode>
                <c:ptCount val="13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24928"/>
        <c:axId val="28526848"/>
      </c:lineChart>
      <c:catAx>
        <c:axId val="2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/>
            </a:pPr>
            <a:endParaRPr lang="en-US"/>
          </a:p>
        </c:txPr>
        <c:crossAx val="2852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5268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85249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9061100646223087"/>
          <c:y val="0.93239554914790579"/>
          <c:w val="0.47988081727525517"/>
          <c:h val="5.9154929577464821E-2"/>
        </c:manualLayout>
      </c:layout>
      <c:overlay val="0"/>
    </c:legend>
    <c:plotVisOnly val="1"/>
    <c:dispBlanksAs val="zero"/>
    <c:showDLblsOverMax val="0"/>
  </c:chart>
  <c:printSettings>
    <c:headerFooter alignWithMargins="0"/>
    <c:pageMargins b="1" l="0.75" r="0.75" t="1" header="0.5" footer="0.5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40928"/>
        <c:axId val="28542464"/>
      </c:barChart>
      <c:catAx>
        <c:axId val="2854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542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542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540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FY 2013 Combined Funds Expenditures by Function Area</a:t>
            </a:r>
            <a:r>
              <a:rPr lang="en-US" sz="1400" baseline="0"/>
              <a:t>    </a:t>
            </a:r>
            <a:r>
              <a:rPr lang="en-US" sz="1400"/>
              <a:t>           (Excluding Bond Funds)</a:t>
            </a:r>
          </a:p>
        </c:rich>
      </c:tx>
      <c:layout>
        <c:manualLayout>
          <c:xMode val="edge"/>
          <c:yMode val="edge"/>
          <c:x val="0.12575252981603827"/>
          <c:y val="2.95883944739465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418777943368111E-2"/>
          <c:y val="0.1573244623491831"/>
          <c:w val="0.85146547441629405"/>
          <c:h val="0.6006124234470691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'2013 Q4 Combined'!$D$48</c:f>
              <c:strCache>
                <c:ptCount val="1"/>
                <c:pt idx="0">
                  <c:v>YTD Expenditures as of 10/7/13</c:v>
                </c:pt>
              </c:strCache>
            </c:strRef>
          </c:tx>
          <c:invertIfNegative val="0"/>
          <c:cat>
            <c:strRef>
              <c:f>'2013 Q4 Combined'!$A$49:$B$61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Unclassified</c:v>
                </c:pt>
              </c:strCache>
            </c:strRef>
          </c:cat>
          <c:val>
            <c:numRef>
              <c:f>'2013 Q4 Combined'!$D$49:$D$61</c:f>
              <c:numCache>
                <c:formatCode>_(* #,##0_);_(* \(#,##0\);_(* "-"??_);_(@_)</c:formatCode>
                <c:ptCount val="13"/>
                <c:pt idx="0" formatCode="&quot;$&quot;#,##0_);\(&quot;$&quot;#,##0\)">
                  <c:v>286962</c:v>
                </c:pt>
                <c:pt idx="1">
                  <c:v>821914</c:v>
                </c:pt>
                <c:pt idx="2">
                  <c:v>49771094</c:v>
                </c:pt>
                <c:pt idx="3">
                  <c:v>3508061</c:v>
                </c:pt>
                <c:pt idx="4">
                  <c:v>9597607</c:v>
                </c:pt>
                <c:pt idx="5">
                  <c:v>26096761</c:v>
                </c:pt>
                <c:pt idx="6">
                  <c:v>16649432</c:v>
                </c:pt>
                <c:pt idx="7">
                  <c:v>15582846</c:v>
                </c:pt>
                <c:pt idx="8">
                  <c:v>9814909</c:v>
                </c:pt>
                <c:pt idx="9">
                  <c:v>11748944</c:v>
                </c:pt>
                <c:pt idx="10">
                  <c:v>61077820</c:v>
                </c:pt>
                <c:pt idx="11">
                  <c:v>19879777</c:v>
                </c:pt>
                <c:pt idx="12">
                  <c:v>79773256</c:v>
                </c:pt>
              </c:numCache>
            </c:numRef>
          </c:val>
        </c:ser>
        <c:ser>
          <c:idx val="1"/>
          <c:order val="1"/>
          <c:tx>
            <c:strRef>
              <c:f>'2013 Q4 Combined'!$H$48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ysClr val="window" lastClr="FFFFFF">
                  <a:lumMod val="65000"/>
                </a:sysClr>
              </a:fgClr>
              <a:bgClr>
                <a:sysClr val="window" lastClr="FFFFFF"/>
              </a:bgClr>
            </a:patt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cat>
            <c:strRef>
              <c:f>'2013 Q4 Combined'!$A$49:$B$61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Unclassified</c:v>
                </c:pt>
              </c:strCache>
            </c:strRef>
          </c:cat>
          <c:val>
            <c:numRef>
              <c:f>'2013 Q4 Combined'!$H$49:$H$61</c:f>
              <c:numCache>
                <c:formatCode>"$"#,##0_);[Red]\("$"#,##0\)</c:formatCode>
                <c:ptCount val="13"/>
                <c:pt idx="0">
                  <c:v>19860</c:v>
                </c:pt>
                <c:pt idx="1">
                  <c:v>46177</c:v>
                </c:pt>
                <c:pt idx="2">
                  <c:v>0</c:v>
                </c:pt>
                <c:pt idx="3">
                  <c:v>339538</c:v>
                </c:pt>
                <c:pt idx="4">
                  <c:v>989628</c:v>
                </c:pt>
                <c:pt idx="5">
                  <c:v>11144897</c:v>
                </c:pt>
                <c:pt idx="6">
                  <c:v>1410020</c:v>
                </c:pt>
                <c:pt idx="7">
                  <c:v>1719497</c:v>
                </c:pt>
                <c:pt idx="8">
                  <c:v>736985</c:v>
                </c:pt>
                <c:pt idx="9">
                  <c:v>470092</c:v>
                </c:pt>
                <c:pt idx="10">
                  <c:v>1644241</c:v>
                </c:pt>
                <c:pt idx="11">
                  <c:v>671118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6128896"/>
        <c:axId val="126130816"/>
      </c:barChart>
      <c:lineChart>
        <c:grouping val="stacked"/>
        <c:varyColors val="0"/>
        <c:ser>
          <c:idx val="2"/>
          <c:order val="2"/>
          <c:tx>
            <c:strRef>
              <c:f>'2013 Q4 Combined'!$G$48</c:f>
              <c:strCache>
                <c:ptCount val="1"/>
                <c:pt idx="0">
                  <c:v>100%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</c:spPr>
          </c:marker>
          <c:val>
            <c:numRef>
              <c:f>'2013 Q4 Combined'!$I$49:$I$61</c:f>
              <c:numCache>
                <c:formatCode>0%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28896"/>
        <c:axId val="126130816"/>
      </c:lineChart>
      <c:catAx>
        <c:axId val="12612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/>
            </a:pPr>
            <a:endParaRPr lang="en-US"/>
          </a:p>
        </c:txPr>
        <c:crossAx val="12613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1308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61288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164278865810347"/>
          <c:y val="0.9323954651806311"/>
          <c:w val="0.71599201912136279"/>
          <c:h val="5.9154929577464821E-2"/>
        </c:manualLayout>
      </c:layout>
      <c:overlay val="0"/>
    </c:legend>
    <c:plotVisOnly val="1"/>
    <c:dispBlanksAs val="zero"/>
    <c:showDLblsOverMax val="0"/>
  </c:chart>
  <c:printSettings>
    <c:headerFooter alignWithMargins="0"/>
    <c:pageMargins b="1" l="0.75" r="0.75" t="1" header="0.5" footer="0.5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56288"/>
        <c:axId val="28558080"/>
      </c:barChart>
      <c:catAx>
        <c:axId val="2855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558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558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556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71904"/>
        <c:axId val="28573696"/>
      </c:barChart>
      <c:catAx>
        <c:axId val="2857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573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573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57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87520"/>
        <c:axId val="28589056"/>
      </c:barChart>
      <c:catAx>
        <c:axId val="2858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589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589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587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% of Combined Funds Revenue 
Collected  2nd Quarter of Fiscal Year (Excluding Bond Funds) </a:t>
            </a:r>
          </a:p>
        </c:rich>
      </c:tx>
      <c:layout>
        <c:manualLayout>
          <c:xMode val="edge"/>
          <c:yMode val="edge"/>
          <c:x val="0.15896441938840486"/>
          <c:y val="1.83944332539827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'2013 Q2 Combined'!$M$16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D5635"/>
            </a:solidFill>
          </c:spPr>
          <c:invertIfNegative val="0"/>
          <c:val>
            <c:numRef>
              <c:f>'2013 Q2 Combined'!$M$17:$M$23</c:f>
              <c:numCache>
                <c:formatCode>0.00%</c:formatCode>
                <c:ptCount val="7"/>
                <c:pt idx="0">
                  <c:v>0.98607980978955634</c:v>
                </c:pt>
                <c:pt idx="1">
                  <c:v>0.59152329749103938</c:v>
                </c:pt>
                <c:pt idx="2">
                  <c:v>0.79443253672573</c:v>
                </c:pt>
                <c:pt idx="3">
                  <c:v>0.43567954040838147</c:v>
                </c:pt>
                <c:pt idx="4">
                  <c:v>0.56718338612627195</c:v>
                </c:pt>
                <c:pt idx="5">
                  <c:v>0.30989829426343313</c:v>
                </c:pt>
                <c:pt idx="6">
                  <c:v>1.1189827215518282</c:v>
                </c:pt>
              </c:numCache>
            </c:numRef>
          </c:val>
        </c:ser>
        <c:ser>
          <c:idx val="4"/>
          <c:order val="1"/>
          <c:tx>
            <c:strRef>
              <c:f>'2013 Q2 Combined'!$P$16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'2013 Q2 Combined'!$P$17:$P$23</c:f>
              <c:numCache>
                <c:formatCode>0.00%</c:formatCode>
                <c:ptCount val="7"/>
                <c:pt idx="0">
                  <c:v>0.98839105556477014</c:v>
                </c:pt>
                <c:pt idx="1">
                  <c:v>0.56903246521584017</c:v>
                </c:pt>
                <c:pt idx="2">
                  <c:v>0.91532660069342331</c:v>
                </c:pt>
                <c:pt idx="3">
                  <c:v>0.47128656418979858</c:v>
                </c:pt>
                <c:pt idx="4">
                  <c:v>0.5254820703933748</c:v>
                </c:pt>
                <c:pt idx="5">
                  <c:v>0.46277509297151026</c:v>
                </c:pt>
                <c:pt idx="6">
                  <c:v>1.0618544717730956</c:v>
                </c:pt>
              </c:numCache>
            </c:numRef>
          </c:val>
        </c:ser>
        <c:ser>
          <c:idx val="3"/>
          <c:order val="2"/>
          <c:tx>
            <c:strRef>
              <c:f>'2013 Q2 Combined'!$T$16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'2013 Q2 Combined'!$T$17:$T$23</c:f>
              <c:numCache>
                <c:formatCode>0.00%</c:formatCode>
                <c:ptCount val="7"/>
                <c:pt idx="0">
                  <c:v>0.97352817118000712</c:v>
                </c:pt>
                <c:pt idx="1">
                  <c:v>0.59866617218677398</c:v>
                </c:pt>
                <c:pt idx="2">
                  <c:v>0.4200367785321949</c:v>
                </c:pt>
                <c:pt idx="3">
                  <c:v>0.48780878849495662</c:v>
                </c:pt>
                <c:pt idx="4">
                  <c:v>0.46472048890993495</c:v>
                </c:pt>
                <c:pt idx="5">
                  <c:v>0.50771715838864839</c:v>
                </c:pt>
                <c:pt idx="6">
                  <c:v>0.86935798376873397</c:v>
                </c:pt>
              </c:numCache>
            </c:numRef>
          </c:val>
        </c:ser>
        <c:ser>
          <c:idx val="0"/>
          <c:order val="3"/>
          <c:tx>
            <c:strRef>
              <c:f>'2013 Q2 Combined'!$X$16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</c:spPr>
          <c:invertIfNegative val="0"/>
          <c:cat>
            <c:strRef>
              <c:f>'2013 Q2 Combined'!$J$17:$J$23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Misc., Transfers, Ins.</c:v>
                </c:pt>
              </c:strCache>
            </c:strRef>
          </c:cat>
          <c:val>
            <c:numRef>
              <c:f>'2013 Q2 Combined'!$X$17:$X$23</c:f>
              <c:numCache>
                <c:formatCode>0.00%</c:formatCode>
                <c:ptCount val="7"/>
                <c:pt idx="0">
                  <c:v>0.96962204383742301</c:v>
                </c:pt>
                <c:pt idx="1">
                  <c:v>0.5437047756874096</c:v>
                </c:pt>
                <c:pt idx="2">
                  <c:v>0.33446946094292174</c:v>
                </c:pt>
                <c:pt idx="3">
                  <c:v>0.46714103254052736</c:v>
                </c:pt>
                <c:pt idx="4">
                  <c:v>0.44218640051119484</c:v>
                </c:pt>
                <c:pt idx="5">
                  <c:v>0.50318177495533245</c:v>
                </c:pt>
                <c:pt idx="6">
                  <c:v>0.73957543497778033</c:v>
                </c:pt>
              </c:numCache>
            </c:numRef>
          </c:val>
        </c:ser>
        <c:ser>
          <c:idx val="1"/>
          <c:order val="4"/>
          <c:tx>
            <c:strRef>
              <c:f>'2013 Q2 Combined'!$AB$16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</c:spPr>
          <c:invertIfNegative val="0"/>
          <c:val>
            <c:numRef>
              <c:f>'2013 Q2 Combined'!$AB$17:$AB$23</c:f>
              <c:numCache>
                <c:formatCode>0.00%</c:formatCode>
                <c:ptCount val="7"/>
                <c:pt idx="0">
                  <c:v>0.96528740027345694</c:v>
                </c:pt>
                <c:pt idx="1">
                  <c:v>0.58108996654661782</c:v>
                </c:pt>
                <c:pt idx="2">
                  <c:v>0.46571526274201241</c:v>
                </c:pt>
                <c:pt idx="3">
                  <c:v>0.4857511399120833</c:v>
                </c:pt>
                <c:pt idx="4">
                  <c:v>0.47659268680289146</c:v>
                </c:pt>
                <c:pt idx="5">
                  <c:v>0.67798563851909099</c:v>
                </c:pt>
                <c:pt idx="6">
                  <c:v>0.29262499082726134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854528"/>
        <c:axId val="28966912"/>
      </c:barChart>
      <c:catAx>
        <c:axId val="288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2896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966912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8854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019382192610541"/>
          <c:y val="0.89957053042788249"/>
          <c:w val="0.45054916807965378"/>
          <c:h val="5.6730708661417321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400"/>
              <a:t>% of Combined Funds Expenditures 
Spent  2nd Quarter of Fiscal Year (Excluding Bond Funds)</a:t>
            </a:r>
          </a:p>
        </c:rich>
      </c:tx>
      <c:layout>
        <c:manualLayout>
          <c:xMode val="edge"/>
          <c:yMode val="edge"/>
          <c:x val="0.16012084592145015"/>
          <c:y val="2.63797288496832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153063570981126E-2"/>
          <c:y val="0.17495076273360569"/>
          <c:w val="0.8981798574271872"/>
          <c:h val="0.57809938231405289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'2013 Q2 Combined'!$M$48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D5635"/>
            </a:solidFill>
          </c:spPr>
          <c:invertIfNegative val="0"/>
          <c:val>
            <c:numRef>
              <c:f>'2013 Q2 Combined'!$M$49:$M$61</c:f>
              <c:numCache>
                <c:formatCode>0.00%</c:formatCode>
                <c:ptCount val="13"/>
                <c:pt idx="0">
                  <c:v>0.53004999641485939</c:v>
                </c:pt>
                <c:pt idx="1">
                  <c:v>0.50127809181295513</c:v>
                </c:pt>
                <c:pt idx="2">
                  <c:v>0.84198086467641964</c:v>
                </c:pt>
                <c:pt idx="3">
                  <c:v>0.42790919739816963</c:v>
                </c:pt>
                <c:pt idx="4">
                  <c:v>0.42615801009423138</c:v>
                </c:pt>
                <c:pt idx="5">
                  <c:v>0.35747710265745958</c:v>
                </c:pt>
                <c:pt idx="6">
                  <c:v>0.45216095150616975</c:v>
                </c:pt>
                <c:pt idx="7">
                  <c:v>0.42142280961601558</c:v>
                </c:pt>
                <c:pt idx="8">
                  <c:v>0.43444124817781526</c:v>
                </c:pt>
                <c:pt idx="9">
                  <c:v>0.49364368842190171</c:v>
                </c:pt>
                <c:pt idx="10">
                  <c:v>0.45809846714061264</c:v>
                </c:pt>
                <c:pt idx="11">
                  <c:v>0.47051011646938007</c:v>
                </c:pt>
                <c:pt idx="12">
                  <c:v>0.86994263593893528</c:v>
                </c:pt>
              </c:numCache>
            </c:numRef>
          </c:val>
        </c:ser>
        <c:ser>
          <c:idx val="4"/>
          <c:order val="1"/>
          <c:tx>
            <c:strRef>
              <c:f>'2013 Q2 Combined'!$P$48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'2013 Q2 Combined'!$P$49:$P$61</c:f>
              <c:numCache>
                <c:formatCode>0.00%</c:formatCode>
                <c:ptCount val="13"/>
                <c:pt idx="0">
                  <c:v>0.43649898285477662</c:v>
                </c:pt>
                <c:pt idx="1">
                  <c:v>0.48080035725336623</c:v>
                </c:pt>
                <c:pt idx="2">
                  <c:v>0.79566932547484504</c:v>
                </c:pt>
                <c:pt idx="3">
                  <c:v>0.3337212342364817</c:v>
                </c:pt>
                <c:pt idx="4">
                  <c:v>0.5328174292691783</c:v>
                </c:pt>
                <c:pt idx="5">
                  <c:v>0.37296531311521575</c:v>
                </c:pt>
                <c:pt idx="6">
                  <c:v>0.48178504446473547</c:v>
                </c:pt>
                <c:pt idx="7">
                  <c:v>0.50888625875091276</c:v>
                </c:pt>
                <c:pt idx="8">
                  <c:v>0.51919838479791824</c:v>
                </c:pt>
                <c:pt idx="9">
                  <c:v>0.43357948691947218</c:v>
                </c:pt>
                <c:pt idx="10">
                  <c:v>0.53975772938089983</c:v>
                </c:pt>
                <c:pt idx="11">
                  <c:v>0.60734479240267736</c:v>
                </c:pt>
                <c:pt idx="12">
                  <c:v>0.70725069981017052</c:v>
                </c:pt>
              </c:numCache>
            </c:numRef>
          </c:val>
        </c:ser>
        <c:ser>
          <c:idx val="3"/>
          <c:order val="2"/>
          <c:tx>
            <c:strRef>
              <c:f>'2013 Q2 Combined'!$T$48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'2013 Q2 Combined'!$T$49:$T$61</c:f>
              <c:numCache>
                <c:formatCode>0.00%</c:formatCode>
                <c:ptCount val="13"/>
                <c:pt idx="0">
                  <c:v>0.38853184208329855</c:v>
                </c:pt>
                <c:pt idx="1">
                  <c:v>1.5433419808743651</c:v>
                </c:pt>
                <c:pt idx="2">
                  <c:v>0.86145256830651351</c:v>
                </c:pt>
                <c:pt idx="3">
                  <c:v>0.34278367180122687</c:v>
                </c:pt>
                <c:pt idx="4">
                  <c:v>0.49734681198501351</c:v>
                </c:pt>
                <c:pt idx="5">
                  <c:v>0.43470854985160284</c:v>
                </c:pt>
                <c:pt idx="6">
                  <c:v>0.4441729739313407</c:v>
                </c:pt>
                <c:pt idx="7">
                  <c:v>0.48767759764913249</c:v>
                </c:pt>
                <c:pt idx="8">
                  <c:v>0.50405440009104618</c:v>
                </c:pt>
                <c:pt idx="9">
                  <c:v>1.4265301117158768</c:v>
                </c:pt>
                <c:pt idx="10">
                  <c:v>0.51028226614142191</c:v>
                </c:pt>
                <c:pt idx="11">
                  <c:v>1.4939678010828727</c:v>
                </c:pt>
                <c:pt idx="12">
                  <c:v>1.4935829842608968</c:v>
                </c:pt>
              </c:numCache>
            </c:numRef>
          </c:val>
        </c:ser>
        <c:ser>
          <c:idx val="0"/>
          <c:order val="3"/>
          <c:tx>
            <c:strRef>
              <c:f>'2013 Q2 Combined'!$X$48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</c:spPr>
          <c:invertIfNegative val="0"/>
          <c:cat>
            <c:strRef>
              <c:f>'2013 Q2 Combined'!$J$49:$J$61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 Admin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Unclassified</c:v>
                </c:pt>
              </c:strCache>
            </c:strRef>
          </c:cat>
          <c:val>
            <c:numRef>
              <c:f>'2013 Q2 Combined'!$X$49:$X$61</c:f>
              <c:numCache>
                <c:formatCode>0.00%</c:formatCode>
                <c:ptCount val="13"/>
                <c:pt idx="0">
                  <c:v>0.42521139522870965</c:v>
                </c:pt>
                <c:pt idx="1">
                  <c:v>1.4135777417746298</c:v>
                </c:pt>
                <c:pt idx="2">
                  <c:v>0.80277401508751045</c:v>
                </c:pt>
                <c:pt idx="3">
                  <c:v>0.53862756892814267</c:v>
                </c:pt>
                <c:pt idx="4">
                  <c:v>0.52624247978161132</c:v>
                </c:pt>
                <c:pt idx="5">
                  <c:v>0.43277225283665188</c:v>
                </c:pt>
                <c:pt idx="6">
                  <c:v>0.55535105033759047</c:v>
                </c:pt>
                <c:pt idx="7">
                  <c:v>0.50963262593208847</c:v>
                </c:pt>
                <c:pt idx="8">
                  <c:v>0.53722549647465567</c:v>
                </c:pt>
                <c:pt idx="9">
                  <c:v>0.5583356635130533</c:v>
                </c:pt>
                <c:pt idx="10">
                  <c:v>0.53721093035543166</c:v>
                </c:pt>
                <c:pt idx="11">
                  <c:v>1.7157707533007651</c:v>
                </c:pt>
                <c:pt idx="12">
                  <c:v>0.68081894565774403</c:v>
                </c:pt>
              </c:numCache>
            </c:numRef>
          </c:val>
        </c:ser>
        <c:ser>
          <c:idx val="1"/>
          <c:order val="4"/>
          <c:tx>
            <c:strRef>
              <c:f>'2013 Q2 Combined'!$AB$48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</c:spPr>
          <c:invertIfNegative val="0"/>
          <c:val>
            <c:numRef>
              <c:f>'2013 Q2 Combined'!$AB$49:$AB$61</c:f>
              <c:numCache>
                <c:formatCode>0.00%</c:formatCode>
                <c:ptCount val="13"/>
                <c:pt idx="0">
                  <c:v>0.46298145778232808</c:v>
                </c:pt>
                <c:pt idx="1">
                  <c:v>1.4815584178230596</c:v>
                </c:pt>
                <c:pt idx="2">
                  <c:v>0.79485402673568795</c:v>
                </c:pt>
                <c:pt idx="3">
                  <c:v>0.45959410525238276</c:v>
                </c:pt>
                <c:pt idx="4">
                  <c:v>0.47209942776737962</c:v>
                </c:pt>
                <c:pt idx="5">
                  <c:v>0.39098355697770276</c:v>
                </c:pt>
                <c:pt idx="6">
                  <c:v>0.49382559860884867</c:v>
                </c:pt>
                <c:pt idx="7">
                  <c:v>0.48097534647211193</c:v>
                </c:pt>
                <c:pt idx="8">
                  <c:v>0.50042734083667828</c:v>
                </c:pt>
                <c:pt idx="9">
                  <c:v>0.86857221194690837</c:v>
                </c:pt>
                <c:pt idx="10">
                  <c:v>0.49636965595469068</c:v>
                </c:pt>
                <c:pt idx="11">
                  <c:v>1.1817005831326839</c:v>
                </c:pt>
                <c:pt idx="12">
                  <c:v>0.66330450943556862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982656"/>
        <c:axId val="28996736"/>
      </c:barChart>
      <c:catAx>
        <c:axId val="2898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/>
            </a:pPr>
            <a:endParaRPr lang="en-US"/>
          </a:p>
        </c:txPr>
        <c:crossAx val="28996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996736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89826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513872699447312"/>
          <c:y val="0.91711443964241313"/>
          <c:w val="0.44853502073570106"/>
          <c:h val="5.6730708661417321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FY 2013 Combined Funds Revenue by Source (Excl Bond Funds)</a:t>
            </a:r>
          </a:p>
        </c:rich>
      </c:tx>
      <c:layout>
        <c:manualLayout>
          <c:xMode val="edge"/>
          <c:yMode val="edge"/>
          <c:x val="0.14428216592151019"/>
          <c:y val="1.935680591178949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418777943368111E-2"/>
          <c:y val="0.10836415379740402"/>
          <c:w val="0.87133631395926481"/>
          <c:h val="0.7141721521711835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'2013 Q1 Combined'!$D$16</c:f>
              <c:strCache>
                <c:ptCount val="1"/>
                <c:pt idx="0">
                  <c:v>YTD Collections as of 1/15/13</c:v>
                </c:pt>
              </c:strCache>
            </c:strRef>
          </c:tx>
          <c:invertIfNegative val="0"/>
          <c:cat>
            <c:strRef>
              <c:f>'2013 Q1 Combined'!$A$17:$B$23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'2013 Q1 Combined'!$D$17:$D$23</c:f>
              <c:numCache>
                <c:formatCode>#,##0</c:formatCode>
                <c:ptCount val="7"/>
                <c:pt idx="0" formatCode="&quot;$&quot;#,##0_);\(&quot;$&quot;#,##0\)">
                  <c:v>100733148</c:v>
                </c:pt>
                <c:pt idx="1">
                  <c:v>101843</c:v>
                </c:pt>
                <c:pt idx="2">
                  <c:v>2965349</c:v>
                </c:pt>
                <c:pt idx="3">
                  <c:v>9051319</c:v>
                </c:pt>
                <c:pt idx="4">
                  <c:v>1019785</c:v>
                </c:pt>
                <c:pt idx="5">
                  <c:v>534079</c:v>
                </c:pt>
                <c:pt idx="6">
                  <c:v>12152217</c:v>
                </c:pt>
              </c:numCache>
            </c:numRef>
          </c:val>
        </c:ser>
        <c:ser>
          <c:idx val="1"/>
          <c:order val="1"/>
          <c:tx>
            <c:strRef>
              <c:f>'2013 Q1 Combined'!$H$16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wdDn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1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2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3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4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5"/>
            <c:invertIfNegative val="0"/>
            <c:bubble3D val="0"/>
            <c:spPr>
              <a:pattFill prst="dk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6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cat>
            <c:strRef>
              <c:f>'2013 Q1 Combined'!$A$17:$B$23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'2013 Q1 Combined'!$H$17:$H$23</c:f>
              <c:numCache>
                <c:formatCode>"$"#,##0_);[Red]\("$"#,##0\)</c:formatCode>
                <c:ptCount val="7"/>
                <c:pt idx="0">
                  <c:v>77803421</c:v>
                </c:pt>
                <c:pt idx="1">
                  <c:v>177157</c:v>
                </c:pt>
                <c:pt idx="2" formatCode="#,##0_);[Red]\(#,##0\)">
                  <c:v>5821202</c:v>
                </c:pt>
                <c:pt idx="3" formatCode="#,##0_);[Red]\(#,##0\)">
                  <c:v>35187956</c:v>
                </c:pt>
                <c:pt idx="4" formatCode="#,##0_);[Red]\(#,##0\)">
                  <c:v>2649582</c:v>
                </c:pt>
                <c:pt idx="5" formatCode="#,##0_);[Red]\(#,##0\)">
                  <c:v>2460639</c:v>
                </c:pt>
                <c:pt idx="6" formatCode="#,##0_);[Red]\(#,##0\)">
                  <c:v>10078078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713728"/>
        <c:axId val="30728192"/>
      </c:barChart>
      <c:lineChart>
        <c:grouping val="stacked"/>
        <c:varyColors val="0"/>
        <c:ser>
          <c:idx val="2"/>
          <c:order val="2"/>
          <c:tx>
            <c:strRef>
              <c:f>'2013 Q1 Combined'!$I$16</c:f>
              <c:strCache>
                <c:ptCount val="1"/>
                <c:pt idx="0">
                  <c:v>25%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</c:spPr>
          </c:marker>
          <c:val>
            <c:numRef>
              <c:f>'2013 Q1 Combined'!$I$17:$I$23</c:f>
              <c:numCache>
                <c:formatCode>0%</c:formatCode>
                <c:ptCount val="7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13728"/>
        <c:axId val="30728192"/>
      </c:lineChart>
      <c:catAx>
        <c:axId val="3071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30728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7281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07137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9061100646223087"/>
          <c:y val="0.93239554914790579"/>
          <c:w val="0.47988081727525517"/>
          <c:h val="5.9154929577464821E-2"/>
        </c:manualLayout>
      </c:layout>
      <c:overlay val="0"/>
    </c:legend>
    <c:plotVisOnly val="1"/>
    <c:dispBlanksAs val="zero"/>
    <c:showDLblsOverMax val="0"/>
  </c:chart>
  <c:printSettings>
    <c:headerFooter alignWithMargins="0"/>
    <c:pageMargins b="1" l="0.75" r="0.75" t="1" header="0.5" footer="0.5"/>
    <c:pageSetup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FY 2013 Combined Funds Expenditures by Function Area</a:t>
            </a:r>
            <a:r>
              <a:rPr lang="en-US" sz="1400" baseline="0"/>
              <a:t>    </a:t>
            </a:r>
            <a:r>
              <a:rPr lang="en-US" sz="1400"/>
              <a:t>           (Excluding Bond Funds)</a:t>
            </a:r>
          </a:p>
        </c:rich>
      </c:tx>
      <c:layout>
        <c:manualLayout>
          <c:xMode val="edge"/>
          <c:yMode val="edge"/>
          <c:x val="0.12575252981603827"/>
          <c:y val="2.95883944739465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418777943368111E-2"/>
          <c:y val="0.1573244623491831"/>
          <c:w val="0.85146547441629405"/>
          <c:h val="0.6006124234470691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'2013 Q1 Combined'!$D$48</c:f>
              <c:strCache>
                <c:ptCount val="1"/>
                <c:pt idx="0">
                  <c:v>YTD Expenditures as of 1/15/13</c:v>
                </c:pt>
              </c:strCache>
            </c:strRef>
          </c:tx>
          <c:invertIfNegative val="0"/>
          <c:cat>
            <c:strRef>
              <c:f>'2013 Q1 Combined'!$A$49:$B$61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'2013 Q1 Combined'!$D$49:$D$61</c:f>
              <c:numCache>
                <c:formatCode>_(* #,##0_);_(* \(#,##0\);_(* "-"??_);_(@_)</c:formatCode>
                <c:ptCount val="13"/>
                <c:pt idx="0" formatCode="&quot;$&quot;#,##0_);\(&quot;$&quot;#,##0\)">
                  <c:v>71918</c:v>
                </c:pt>
                <c:pt idx="1">
                  <c:v>135375</c:v>
                </c:pt>
                <c:pt idx="2">
                  <c:v>1000</c:v>
                </c:pt>
                <c:pt idx="3">
                  <c:v>1063391</c:v>
                </c:pt>
                <c:pt idx="4">
                  <c:v>2268254</c:v>
                </c:pt>
                <c:pt idx="5">
                  <c:v>7143783</c:v>
                </c:pt>
                <c:pt idx="6">
                  <c:v>4038870</c:v>
                </c:pt>
                <c:pt idx="7">
                  <c:v>3592347</c:v>
                </c:pt>
                <c:pt idx="8">
                  <c:v>2246269</c:v>
                </c:pt>
                <c:pt idx="9">
                  <c:v>3190180</c:v>
                </c:pt>
                <c:pt idx="10">
                  <c:v>14523532</c:v>
                </c:pt>
                <c:pt idx="11">
                  <c:v>6542409</c:v>
                </c:pt>
                <c:pt idx="12">
                  <c:v>10640787</c:v>
                </c:pt>
              </c:numCache>
            </c:numRef>
          </c:val>
        </c:ser>
        <c:ser>
          <c:idx val="1"/>
          <c:order val="1"/>
          <c:tx>
            <c:strRef>
              <c:f>'2013 Q1 Combined'!$H$48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ysClr val="window" lastClr="FFFFFF">
                  <a:lumMod val="65000"/>
                </a:sysClr>
              </a:fgClr>
              <a:bgClr>
                <a:sysClr val="window" lastClr="FFFFFF"/>
              </a:bgClr>
            </a:patt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cat>
            <c:strRef>
              <c:f>'2013 Q1 Combined'!$A$49:$B$61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'2013 Q1 Combined'!$H$49:$H$61</c:f>
              <c:numCache>
                <c:formatCode>#,##0</c:formatCode>
                <c:ptCount val="13"/>
                <c:pt idx="0" formatCode="&quot;$&quot;#,##0_);[Red]\(&quot;$&quot;#,##0\)">
                  <c:v>234904</c:v>
                </c:pt>
                <c:pt idx="1">
                  <c:v>732716</c:v>
                </c:pt>
                <c:pt idx="2">
                  <c:v>44840468</c:v>
                </c:pt>
                <c:pt idx="3">
                  <c:v>2784208</c:v>
                </c:pt>
                <c:pt idx="4">
                  <c:v>8318981</c:v>
                </c:pt>
                <c:pt idx="5">
                  <c:v>30097875</c:v>
                </c:pt>
                <c:pt idx="6">
                  <c:v>14020582</c:v>
                </c:pt>
                <c:pt idx="7">
                  <c:v>13709996</c:v>
                </c:pt>
                <c:pt idx="8">
                  <c:v>8305625</c:v>
                </c:pt>
                <c:pt idx="9">
                  <c:v>9028856</c:v>
                </c:pt>
                <c:pt idx="10">
                  <c:v>48198529</c:v>
                </c:pt>
                <c:pt idx="11">
                  <c:v>14008486</c:v>
                </c:pt>
                <c:pt idx="12">
                  <c:v>9374358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803456"/>
        <c:axId val="30805376"/>
      </c:barChart>
      <c:lineChart>
        <c:grouping val="stacked"/>
        <c:varyColors val="0"/>
        <c:ser>
          <c:idx val="2"/>
          <c:order val="2"/>
          <c:tx>
            <c:strRef>
              <c:f>'2013 Q1 Combined'!$G$48</c:f>
              <c:strCache>
                <c:ptCount val="1"/>
                <c:pt idx="0">
                  <c:v>25%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</c:spPr>
          </c:marker>
          <c:val>
            <c:numRef>
              <c:f>'2013 Q1 Combined'!$I$49:$I$61</c:f>
              <c:numCache>
                <c:formatCode>0%</c:formatCode>
                <c:ptCount val="13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03456"/>
        <c:axId val="30805376"/>
      </c:lineChart>
      <c:catAx>
        <c:axId val="3080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/>
            </a:pPr>
            <a:endParaRPr lang="en-US"/>
          </a:p>
        </c:txPr>
        <c:crossAx val="3080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8053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08034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9061100646223087"/>
          <c:y val="0.93239554914790579"/>
          <c:w val="0.47988081727525517"/>
          <c:h val="5.9154929577464821E-2"/>
        </c:manualLayout>
      </c:layout>
      <c:overlay val="0"/>
    </c:legend>
    <c:plotVisOnly val="1"/>
    <c:dispBlanksAs val="zero"/>
    <c:showDLblsOverMax val="0"/>
  </c:chart>
  <c:printSettings>
    <c:headerFooter alignWithMargins="0"/>
    <c:pageMargins b="1" l="0.75" r="0.75" t="1" header="0.5" footer="0.5"/>
    <c:pageSetup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15360"/>
        <c:axId val="30816896"/>
      </c:barChart>
      <c:catAx>
        <c:axId val="3081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1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816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15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39936"/>
        <c:axId val="30841472"/>
      </c:barChart>
      <c:catAx>
        <c:axId val="3083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41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841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39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63744"/>
        <c:axId val="30865280"/>
      </c:barChart>
      <c:catAx>
        <c:axId val="3086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65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865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637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321024"/>
        <c:axId val="126322560"/>
      </c:barChart>
      <c:catAx>
        <c:axId val="12632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22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322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210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75008"/>
        <c:axId val="30876800"/>
      </c:barChart>
      <c:catAx>
        <c:axId val="3087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76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876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750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% of Combined Funds Revenue 
Collected 1st Quarter of Fiscal Year (Excluding Bond Funds) </a:t>
            </a:r>
          </a:p>
        </c:rich>
      </c:tx>
      <c:layout>
        <c:manualLayout>
          <c:xMode val="edge"/>
          <c:yMode val="edge"/>
          <c:x val="0.15896441938840486"/>
          <c:y val="1.83944332539827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'2013 Q1 Combined'!$M$16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D5635"/>
            </a:solidFill>
          </c:spPr>
          <c:invertIfNegative val="0"/>
          <c:val>
            <c:numRef>
              <c:f>'2013 Q1 Combined'!$M$17:$M$23</c:f>
              <c:numCache>
                <c:formatCode>0.00%</c:formatCode>
                <c:ptCount val="7"/>
                <c:pt idx="0">
                  <c:v>0.56421577139191015</c:v>
                </c:pt>
                <c:pt idx="1">
                  <c:v>0.36502867383512544</c:v>
                </c:pt>
                <c:pt idx="2">
                  <c:v>0.33748725751435349</c:v>
                </c:pt>
                <c:pt idx="3">
                  <c:v>0.20459917121155352</c:v>
                </c:pt>
                <c:pt idx="4">
                  <c:v>0.2779185074700895</c:v>
                </c:pt>
                <c:pt idx="5">
                  <c:v>0.17834033120981674</c:v>
                </c:pt>
                <c:pt idx="6">
                  <c:v>0.54665118029247928</c:v>
                </c:pt>
              </c:numCache>
            </c:numRef>
          </c:val>
        </c:ser>
        <c:ser>
          <c:idx val="4"/>
          <c:order val="1"/>
          <c:tx>
            <c:strRef>
              <c:f>'2013 Q1 Combined'!$P$16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'2013 Q1 Combined'!$P$17:$P$23</c:f>
              <c:numCache>
                <c:formatCode>0.00%</c:formatCode>
                <c:ptCount val="7"/>
                <c:pt idx="0">
                  <c:v>0.44111974425522349</c:v>
                </c:pt>
                <c:pt idx="1">
                  <c:v>0.22761683910096325</c:v>
                </c:pt>
                <c:pt idx="2">
                  <c:v>0.36491810191929541</c:v>
                </c:pt>
                <c:pt idx="3">
                  <c:v>0.18291358342164163</c:v>
                </c:pt>
                <c:pt idx="4">
                  <c:v>0.14995693581780539</c:v>
                </c:pt>
                <c:pt idx="5">
                  <c:v>0.29835994672779143</c:v>
                </c:pt>
                <c:pt idx="6">
                  <c:v>0.92937760495228461</c:v>
                </c:pt>
              </c:numCache>
            </c:numRef>
          </c:val>
        </c:ser>
        <c:ser>
          <c:idx val="3"/>
          <c:order val="2"/>
          <c:tx>
            <c:strRef>
              <c:f>'2013 Q1 Combined'!$T$16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'2013 Q1 Combined'!$T$17:$T$23</c:f>
              <c:numCache>
                <c:formatCode>0.00%</c:formatCode>
                <c:ptCount val="7"/>
                <c:pt idx="0">
                  <c:v>0.56559366291866975</c:v>
                </c:pt>
                <c:pt idx="1">
                  <c:v>0.258410120355138</c:v>
                </c:pt>
                <c:pt idx="2">
                  <c:v>0.25510019540177137</c:v>
                </c:pt>
                <c:pt idx="3">
                  <c:v>0.17853476670796334</c:v>
                </c:pt>
                <c:pt idx="4">
                  <c:v>0.17622768574498032</c:v>
                </c:pt>
                <c:pt idx="5">
                  <c:v>0.31780805787962241</c:v>
                </c:pt>
                <c:pt idx="6">
                  <c:v>0.49541019096602829</c:v>
                </c:pt>
              </c:numCache>
            </c:numRef>
          </c:val>
        </c:ser>
        <c:ser>
          <c:idx val="0"/>
          <c:order val="3"/>
          <c:tx>
            <c:strRef>
              <c:f>'2013 Q1 Combined'!$X$16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</c:spPr>
          <c:invertIfNegative val="0"/>
          <c:cat>
            <c:strRef>
              <c:f>'2013 Q1 Combined'!$J$17:$J$23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'2013 Q1 Combined'!$X$17:$X$23</c:f>
              <c:numCache>
                <c:formatCode>0.00%</c:formatCode>
                <c:ptCount val="7"/>
                <c:pt idx="0">
                  <c:v>0.54020057892857776</c:v>
                </c:pt>
                <c:pt idx="1">
                  <c:v>0.29718778112410527</c:v>
                </c:pt>
                <c:pt idx="2">
                  <c:v>0.13208272737654098</c:v>
                </c:pt>
                <c:pt idx="3">
                  <c:v>0.18954621076118197</c:v>
                </c:pt>
                <c:pt idx="4">
                  <c:v>0.2349028459391152</c:v>
                </c:pt>
                <c:pt idx="5">
                  <c:v>0.23275318653674335</c:v>
                </c:pt>
                <c:pt idx="6">
                  <c:v>5.5538330958393944E-2</c:v>
                </c:pt>
              </c:numCache>
            </c:numRef>
          </c:val>
        </c:ser>
        <c:ser>
          <c:idx val="1"/>
          <c:order val="4"/>
          <c:tx>
            <c:strRef>
              <c:f>'2013 Q1 Combined'!$AB$16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</c:spPr>
          <c:invertIfNegative val="0"/>
          <c:val>
            <c:numRef>
              <c:f>'2013 Q1 Combined'!$AB$17:$AB$23</c:f>
              <c:numCache>
                <c:formatCode>0.00%</c:formatCode>
                <c:ptCount val="7"/>
                <c:pt idx="0">
                  <c:v>0.44386405142506447</c:v>
                </c:pt>
                <c:pt idx="1">
                  <c:v>0.28703563438197394</c:v>
                </c:pt>
                <c:pt idx="2">
                  <c:v>0.28621136144858089</c:v>
                </c:pt>
                <c:pt idx="3">
                  <c:v>0.16606949906714563</c:v>
                </c:pt>
                <c:pt idx="4">
                  <c:v>0.22863882893575418</c:v>
                </c:pt>
                <c:pt idx="5">
                  <c:v>0.36810188487101658</c:v>
                </c:pt>
                <c:pt idx="6">
                  <c:v>4.9990032643257576E-2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12896"/>
        <c:axId val="30914432"/>
      </c:barChart>
      <c:catAx>
        <c:axId val="3091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3091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914432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09128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019382192610541"/>
          <c:y val="0.89957053042788249"/>
          <c:w val="0.45054916807965378"/>
          <c:h val="5.6730708661417321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400"/>
              <a:t>% of Combined Funds Expenditures 
Spent 1st Quarter of Fiscal Year (Excluding Bond Funds)</a:t>
            </a:r>
          </a:p>
        </c:rich>
      </c:tx>
      <c:layout>
        <c:manualLayout>
          <c:xMode val="edge"/>
          <c:yMode val="edge"/>
          <c:x val="0.16012084592145015"/>
          <c:y val="2.63797288496832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153063570981126E-2"/>
          <c:y val="0.17495076273360569"/>
          <c:w val="0.8981798574271872"/>
          <c:h val="0.57809938231405289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'2013 Q1 Combined'!$M$48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D5635"/>
            </a:solidFill>
          </c:spPr>
          <c:invertIfNegative val="0"/>
          <c:val>
            <c:numRef>
              <c:f>'2013 Q1 Combined'!$M$49:$M$61</c:f>
              <c:numCache>
                <c:formatCode>0.00%</c:formatCode>
                <c:ptCount val="13"/>
                <c:pt idx="0">
                  <c:v>0.23439649047330374</c:v>
                </c:pt>
                <c:pt idx="1">
                  <c:v>0.15594563242793671</c:v>
                </c:pt>
                <c:pt idx="2">
                  <c:v>2.2300786406011508E-5</c:v>
                </c:pt>
                <c:pt idx="3">
                  <c:v>0.27637781380024268</c:v>
                </c:pt>
                <c:pt idx="4">
                  <c:v>0.21424422901730245</c:v>
                </c:pt>
                <c:pt idx="5">
                  <c:v>0.19182236730706242</c:v>
                </c:pt>
                <c:pt idx="6">
                  <c:v>0.22364299869121168</c:v>
                </c:pt>
                <c:pt idx="7">
                  <c:v>0.20762199662785555</c:v>
                </c:pt>
                <c:pt idx="8">
                  <c:v>0.21287827569154882</c:v>
                </c:pt>
                <c:pt idx="9">
                  <c:v>0.2610827891823872</c:v>
                </c:pt>
                <c:pt idx="10">
                  <c:v>0.23155380688144162</c:v>
                </c:pt>
                <c:pt idx="11">
                  <c:v>0.31835153651458975</c:v>
                </c:pt>
                <c:pt idx="12">
                  <c:v>0.53163676805738858</c:v>
                </c:pt>
              </c:numCache>
            </c:numRef>
          </c:val>
        </c:ser>
        <c:ser>
          <c:idx val="4"/>
          <c:order val="1"/>
          <c:tx>
            <c:strRef>
              <c:f>'2013 Q1 Combined'!$P$48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'2013 Q1 Combined'!$P$49:$P$61</c:f>
              <c:numCache>
                <c:formatCode>0.00%</c:formatCode>
                <c:ptCount val="13"/>
                <c:pt idx="0">
                  <c:v>0.23048280712363162</c:v>
                </c:pt>
                <c:pt idx="1">
                  <c:v>0.18485976005396515</c:v>
                </c:pt>
                <c:pt idx="2">
                  <c:v>2.9594081657173873E-5</c:v>
                </c:pt>
                <c:pt idx="3">
                  <c:v>0.17878500308369832</c:v>
                </c:pt>
                <c:pt idx="4">
                  <c:v>0.32243825877144178</c:v>
                </c:pt>
                <c:pt idx="5">
                  <c:v>0.25007349463449868</c:v>
                </c:pt>
                <c:pt idx="6">
                  <c:v>0.22116352202527337</c:v>
                </c:pt>
                <c:pt idx="7">
                  <c:v>0.30655413939980936</c:v>
                </c:pt>
                <c:pt idx="8">
                  <c:v>0.29659563776982129</c:v>
                </c:pt>
                <c:pt idx="9">
                  <c:v>0.23071121906987144</c:v>
                </c:pt>
                <c:pt idx="10">
                  <c:v>0.31433977431692167</c:v>
                </c:pt>
                <c:pt idx="11">
                  <c:v>0.35005908359581123</c:v>
                </c:pt>
                <c:pt idx="12">
                  <c:v>0.48583903209484902</c:v>
                </c:pt>
              </c:numCache>
            </c:numRef>
          </c:val>
        </c:ser>
        <c:ser>
          <c:idx val="3"/>
          <c:order val="2"/>
          <c:tx>
            <c:strRef>
              <c:f>'2013 Q1 Combined'!$T$48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'2013 Q1 Combined'!$T$49:$T$61</c:f>
              <c:numCache>
                <c:formatCode>0.00%</c:formatCode>
                <c:ptCount val="13"/>
                <c:pt idx="0">
                  <c:v>0.15685947194168545</c:v>
                </c:pt>
                <c:pt idx="1">
                  <c:v>0.33897068413093973</c:v>
                </c:pt>
                <c:pt idx="2">
                  <c:v>4.9835425107731361E-2</c:v>
                </c:pt>
                <c:pt idx="3">
                  <c:v>0.14174435816729775</c:v>
                </c:pt>
                <c:pt idx="4">
                  <c:v>0.18283471661212616</c:v>
                </c:pt>
                <c:pt idx="5">
                  <c:v>0.27974367643128384</c:v>
                </c:pt>
                <c:pt idx="6">
                  <c:v>0.17481847728692146</c:v>
                </c:pt>
                <c:pt idx="7">
                  <c:v>0.19196383453308102</c:v>
                </c:pt>
                <c:pt idx="8">
                  <c:v>0.20146114429993106</c:v>
                </c:pt>
                <c:pt idx="9">
                  <c:v>0.79404980254605473</c:v>
                </c:pt>
                <c:pt idx="10">
                  <c:v>0.21854407009242383</c:v>
                </c:pt>
                <c:pt idx="11">
                  <c:v>0.56629984281009171</c:v>
                </c:pt>
                <c:pt idx="12">
                  <c:v>1.070829215079645</c:v>
                </c:pt>
              </c:numCache>
            </c:numRef>
          </c:val>
        </c:ser>
        <c:ser>
          <c:idx val="0"/>
          <c:order val="3"/>
          <c:tx>
            <c:strRef>
              <c:f>'2013 Q1 Combined'!$X$48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</c:spPr>
          <c:invertIfNegative val="0"/>
          <c:cat>
            <c:strRef>
              <c:f>'2013 Q1 Combined'!$J$49:$J$61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 Admin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'2013 Q1 Combined'!$X$49:$X$61</c:f>
              <c:numCache>
                <c:formatCode>0.00%</c:formatCode>
                <c:ptCount val="13"/>
                <c:pt idx="0">
                  <c:v>0.17885935168859352</c:v>
                </c:pt>
                <c:pt idx="1">
                  <c:v>0.48672401424389994</c:v>
                </c:pt>
                <c:pt idx="2">
                  <c:v>6.7227773525337375E-3</c:v>
                </c:pt>
                <c:pt idx="3">
                  <c:v>0.16147719535222652</c:v>
                </c:pt>
                <c:pt idx="4">
                  <c:v>0.21334383571474172</c:v>
                </c:pt>
                <c:pt idx="5">
                  <c:v>0.23759677059214904</c:v>
                </c:pt>
                <c:pt idx="6">
                  <c:v>0.22396437304812192</c:v>
                </c:pt>
                <c:pt idx="7">
                  <c:v>0.20160658160761358</c:v>
                </c:pt>
                <c:pt idx="8">
                  <c:v>0.23231921225164437</c:v>
                </c:pt>
                <c:pt idx="9">
                  <c:v>0.16476968046433729</c:v>
                </c:pt>
                <c:pt idx="10">
                  <c:v>0.22924711197768083</c:v>
                </c:pt>
                <c:pt idx="11">
                  <c:v>0.30737404413176966</c:v>
                </c:pt>
                <c:pt idx="12">
                  <c:v>0.10016278452219123</c:v>
                </c:pt>
              </c:numCache>
            </c:numRef>
          </c:val>
        </c:ser>
        <c:ser>
          <c:idx val="1"/>
          <c:order val="4"/>
          <c:tx>
            <c:strRef>
              <c:f>'2013 Q1 Combined'!$AB$48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</c:spPr>
          <c:invertIfNegative val="0"/>
          <c:val>
            <c:numRef>
              <c:f>'2013 Q1 Combined'!$AB$49:$AB$61</c:f>
              <c:numCache>
                <c:formatCode>0.00%</c:formatCode>
                <c:ptCount val="13"/>
                <c:pt idx="0">
                  <c:v>0.18621895173904388</c:v>
                </c:pt>
                <c:pt idx="1">
                  <c:v>0.26377310166884432</c:v>
                </c:pt>
                <c:pt idx="2">
                  <c:v>2.3370193113514544E-5</c:v>
                </c:pt>
                <c:pt idx="3">
                  <c:v>0.12298868548639791</c:v>
                </c:pt>
                <c:pt idx="4">
                  <c:v>0.13145364818582114</c:v>
                </c:pt>
                <c:pt idx="5">
                  <c:v>0.15158724931404988</c:v>
                </c:pt>
                <c:pt idx="6">
                  <c:v>0.20937555608539146</c:v>
                </c:pt>
                <c:pt idx="7">
                  <c:v>0.16918347907346296</c:v>
                </c:pt>
                <c:pt idx="8">
                  <c:v>0.17531725519226149</c:v>
                </c:pt>
                <c:pt idx="9">
                  <c:v>0.35015069595134835</c:v>
                </c:pt>
                <c:pt idx="10">
                  <c:v>0.18191083981221687</c:v>
                </c:pt>
                <c:pt idx="11">
                  <c:v>0.581918398179056</c:v>
                </c:pt>
                <c:pt idx="12">
                  <c:v>0.20271788120429882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42720"/>
        <c:axId val="30944256"/>
      </c:barChart>
      <c:catAx>
        <c:axId val="3094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/>
            </a:pPr>
            <a:endParaRPr lang="en-US"/>
          </a:p>
        </c:txPr>
        <c:crossAx val="30944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944256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09427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513872699447312"/>
          <c:y val="0.91711443964241313"/>
          <c:w val="0.44853502073570106"/>
          <c:h val="5.6730708661417321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FY 2012 Combined Funds Revenue by Source (Excluding Bond Funds)</a:t>
            </a:r>
          </a:p>
        </c:rich>
      </c:tx>
      <c:layout>
        <c:manualLayout>
          <c:xMode val="edge"/>
          <c:yMode val="edge"/>
          <c:x val="0.19076006610284824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09E-2"/>
          <c:w val="0.87928464977645304"/>
          <c:h val="0.732395373563178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'2012 Q4 Combined'!$D$16</c:f>
              <c:strCache>
                <c:ptCount val="1"/>
                <c:pt idx="0">
                  <c:v>YTD Collections as of 10/08/12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Q4 Combined'!$A$17:$B$23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'2012 Q4 Combined'!$D$17:$D$23</c:f>
              <c:numCache>
                <c:formatCode>#,##0</c:formatCode>
                <c:ptCount val="7"/>
                <c:pt idx="0" formatCode="_(&quot;$&quot;* #,##0_);_(&quot;$&quot;* \(#,##0\);_(&quot;$&quot;* &quot;-&quot;??_);_(@_)">
                  <c:v>174969403</c:v>
                </c:pt>
                <c:pt idx="1">
                  <c:v>284759</c:v>
                </c:pt>
                <c:pt idx="2">
                  <c:v>17199366</c:v>
                </c:pt>
                <c:pt idx="3">
                  <c:v>40712538</c:v>
                </c:pt>
                <c:pt idx="4">
                  <c:v>4004514</c:v>
                </c:pt>
                <c:pt idx="5">
                  <c:v>2778600</c:v>
                </c:pt>
                <c:pt idx="6">
                  <c:v>36546451</c:v>
                </c:pt>
              </c:numCache>
            </c:numRef>
          </c:val>
        </c:ser>
        <c:ser>
          <c:idx val="1"/>
          <c:order val="1"/>
          <c:tx>
            <c:strRef>
              <c:f>'2012 Q4 Combined'!$H$16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Q4 Combined'!$A$17:$B$23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'2012 Q4 Combined'!$H$17:$H$23</c:f>
              <c:numCache>
                <c:formatCode>"$"#,##0_);[Red]\("$"#,##0\)</c:formatCode>
                <c:ptCount val="7"/>
                <c:pt idx="0">
                  <c:v>0</c:v>
                </c:pt>
                <c:pt idx="1">
                  <c:v>0</c:v>
                </c:pt>
                <c:pt idx="2" formatCode="#,##0_);[Red]\(#,##0\)">
                  <c:v>0</c:v>
                </c:pt>
                <c:pt idx="3" formatCode="#,##0_);[Red]\(#,##0\)">
                  <c:v>0</c:v>
                </c:pt>
                <c:pt idx="4" formatCode="#,##0_);[Red]\(#,##0\)">
                  <c:v>0</c:v>
                </c:pt>
                <c:pt idx="5" formatCode="#,##0_);[Red]\(#,##0\)">
                  <c:v>1184442</c:v>
                </c:pt>
                <c:pt idx="6" formatCode="#,##0_);[Red]\(#,##0\)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067968"/>
        <c:axId val="32069888"/>
      </c:barChart>
      <c:lineChart>
        <c:grouping val="stacked"/>
        <c:varyColors val="0"/>
        <c:ser>
          <c:idx val="2"/>
          <c:order val="2"/>
          <c:tx>
            <c:strRef>
              <c:f>'2012 Q4 Combined'!$I$16</c:f>
              <c:strCache>
                <c:ptCount val="1"/>
                <c:pt idx="0">
                  <c:v>100%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'2012 Q4 Combined'!$I$17:$I$23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67968"/>
        <c:axId val="32069888"/>
      </c:lineChart>
      <c:catAx>
        <c:axId val="3206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06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06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0679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061098473801888"/>
          <c:y val="0.93239554914790579"/>
          <c:w val="0.4798807038009138"/>
          <c:h val="5.91549295774648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FY 2012 Combined Funds Expenditures by Function Area (Excluding Bond Funds)</a:t>
            </a:r>
          </a:p>
        </c:rich>
      </c:tx>
      <c:layout>
        <c:manualLayout>
          <c:xMode val="edge"/>
          <c:yMode val="edge"/>
          <c:x val="0.11209145523476231"/>
          <c:y val="3.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4128166915052"/>
          <c:y val="0.12259615384615384"/>
          <c:w val="0.87779433681073027"/>
          <c:h val="0.536057692307692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'2012 Q4 Combined'!$D$48</c:f>
              <c:strCache>
                <c:ptCount val="1"/>
                <c:pt idx="0">
                  <c:v>YTD Expenditures as of 10/08/12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Q4 Combined'!$A$49:$B$61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'2012 Q4 Combined'!$D$49:$D$61</c:f>
              <c:numCache>
                <c:formatCode>_(* #,##0_);_(* \(#,##0\);_(* "-"??_);_(@_)</c:formatCode>
                <c:ptCount val="13"/>
                <c:pt idx="0" formatCode="_(&quot;$&quot;* #,##0_);_(&quot;$&quot;* \(#,##0\);_(&quot;$&quot;* &quot;-&quot;_);_(@_)">
                  <c:v>236867</c:v>
                </c:pt>
                <c:pt idx="1">
                  <c:v>1092081</c:v>
                </c:pt>
                <c:pt idx="2">
                  <c:v>43097539</c:v>
                </c:pt>
                <c:pt idx="3">
                  <c:v>2684971</c:v>
                </c:pt>
                <c:pt idx="4">
                  <c:v>9524685</c:v>
                </c:pt>
                <c:pt idx="5">
                  <c:v>27002589</c:v>
                </c:pt>
                <c:pt idx="6">
                  <c:v>15882947</c:v>
                </c:pt>
                <c:pt idx="7">
                  <c:v>15262536</c:v>
                </c:pt>
                <c:pt idx="8">
                  <c:v>9758255</c:v>
                </c:pt>
                <c:pt idx="9">
                  <c:v>12270694</c:v>
                </c:pt>
                <c:pt idx="10">
                  <c:v>61276435</c:v>
                </c:pt>
                <c:pt idx="11">
                  <c:v>20280198</c:v>
                </c:pt>
                <c:pt idx="12">
                  <c:v>32055498</c:v>
                </c:pt>
              </c:numCache>
            </c:numRef>
          </c:val>
        </c:ser>
        <c:ser>
          <c:idx val="1"/>
          <c:order val="1"/>
          <c:tx>
            <c:strRef>
              <c:f>'2012 Q4 Combined'!$H$48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Q4 Combined'!$A$49:$B$61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'2012 Q4 Combined'!$H$49:$H$61</c:f>
              <c:numCache>
                <c:formatCode>#,##0</c:formatCode>
                <c:ptCount val="13"/>
                <c:pt idx="0" formatCode="&quot;$&quot;#,##0_);[Red]\(&quot;$&quot;#,##0\)">
                  <c:v>67416</c:v>
                </c:pt>
                <c:pt idx="1">
                  <c:v>74598</c:v>
                </c:pt>
                <c:pt idx="2">
                  <c:v>830163</c:v>
                </c:pt>
                <c:pt idx="3">
                  <c:v>854610</c:v>
                </c:pt>
                <c:pt idx="4">
                  <c:v>720495</c:v>
                </c:pt>
                <c:pt idx="5">
                  <c:v>8619059</c:v>
                </c:pt>
                <c:pt idx="6">
                  <c:v>1456974</c:v>
                </c:pt>
                <c:pt idx="7">
                  <c:v>1738262</c:v>
                </c:pt>
                <c:pt idx="8">
                  <c:v>709785</c:v>
                </c:pt>
                <c:pt idx="9">
                  <c:v>1653553</c:v>
                </c:pt>
                <c:pt idx="10">
                  <c:v>2534109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096256"/>
        <c:axId val="32098176"/>
      </c:barChart>
      <c:lineChart>
        <c:grouping val="stacked"/>
        <c:varyColors val="0"/>
        <c:ser>
          <c:idx val="2"/>
          <c:order val="2"/>
          <c:tx>
            <c:strRef>
              <c:f>'2012 Q4 Combined'!$G$48</c:f>
              <c:strCache>
                <c:ptCount val="1"/>
                <c:pt idx="0">
                  <c:v>100%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'2012 Q4 Combined'!$I$49:$I$61</c:f>
              <c:numCache>
                <c:formatCode>0%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96256"/>
        <c:axId val="32098176"/>
      </c:lineChart>
      <c:catAx>
        <c:axId val="320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098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098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096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570782541071254"/>
          <c:y val="0.92548076923076927"/>
          <c:w val="0.53502229999027895"/>
          <c:h val="5.288461538461541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57056"/>
        <c:axId val="32167040"/>
      </c:barChart>
      <c:catAx>
        <c:axId val="3215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167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167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1570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221824"/>
        <c:axId val="32223616"/>
      </c:barChart>
      <c:catAx>
        <c:axId val="3222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223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223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221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278400"/>
        <c:axId val="32279936"/>
      </c:barChart>
      <c:catAx>
        <c:axId val="322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279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279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278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41184"/>
        <c:axId val="32942720"/>
      </c:barChart>
      <c:catAx>
        <c:axId val="3294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94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942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9411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Combined Funds Revenue 
Collected thru 4th Quarter of Fiscal Year (Excluding Bond Funds) </a:t>
            </a:r>
          </a:p>
        </c:rich>
      </c:tx>
      <c:layout>
        <c:manualLayout>
          <c:xMode val="edge"/>
          <c:yMode val="edge"/>
          <c:x val="0.22238690751891307"/>
          <c:y val="3.3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'2012 Q4 Combined'!$AC$16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Q4 Combined'!$AC$17:$AC$23</c:f>
              <c:numCache>
                <c:formatCode>0.00%</c:formatCode>
                <c:ptCount val="7"/>
                <c:pt idx="0">
                  <c:v>1.0002608436058555</c:v>
                </c:pt>
                <c:pt idx="1">
                  <c:v>0.99999938824544221</c:v>
                </c:pt>
                <c:pt idx="2">
                  <c:v>1.1143369330675947</c:v>
                </c:pt>
                <c:pt idx="3">
                  <c:v>1.0002539723830393</c:v>
                </c:pt>
                <c:pt idx="4">
                  <c:v>0.99999992244834157</c:v>
                </c:pt>
                <c:pt idx="5">
                  <c:v>1.3990891742634544</c:v>
                </c:pt>
                <c:pt idx="6">
                  <c:v>1.8488670023073666</c:v>
                </c:pt>
              </c:numCache>
            </c:numRef>
          </c:val>
        </c:ser>
        <c:ser>
          <c:idx val="1"/>
          <c:order val="1"/>
          <c:tx>
            <c:strRef>
              <c:f>'2012 Q4 Combined'!$Y$16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Q4 Combined'!$Y$17:$Y$23</c:f>
              <c:numCache>
                <c:formatCode>0.00%</c:formatCode>
                <c:ptCount val="7"/>
                <c:pt idx="0">
                  <c:v>0.99842145080446787</c:v>
                </c:pt>
                <c:pt idx="1">
                  <c:v>1.0000881967552482</c:v>
                </c:pt>
                <c:pt idx="2">
                  <c:v>1.0091969295470802</c:v>
                </c:pt>
                <c:pt idx="3">
                  <c:v>0.9817946064749542</c:v>
                </c:pt>
                <c:pt idx="4">
                  <c:v>0.98617191615273492</c:v>
                </c:pt>
                <c:pt idx="5">
                  <c:v>1.2523763717331342</c:v>
                </c:pt>
                <c:pt idx="6">
                  <c:v>1.4495524400598412</c:v>
                </c:pt>
              </c:numCache>
            </c:numRef>
          </c:val>
        </c:ser>
        <c:ser>
          <c:idx val="0"/>
          <c:order val="2"/>
          <c:tx>
            <c:strRef>
              <c:f>'2012 Q4 Combined'!$U$16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Q4 Combined'!$J$17:$J$23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'2012 Q4 Combined'!$U$17:$U$23</c:f>
              <c:numCache>
                <c:formatCode>0.00%</c:formatCode>
                <c:ptCount val="7"/>
                <c:pt idx="0">
                  <c:v>0.99808662605736154</c:v>
                </c:pt>
                <c:pt idx="1">
                  <c:v>0.99600500645363166</c:v>
                </c:pt>
                <c:pt idx="2">
                  <c:v>1.839665743764985</c:v>
                </c:pt>
                <c:pt idx="3">
                  <c:v>0.97709714159707295</c:v>
                </c:pt>
                <c:pt idx="4">
                  <c:v>0.99005489937540847</c:v>
                </c:pt>
                <c:pt idx="5">
                  <c:v>1.2297476710663173</c:v>
                </c:pt>
                <c:pt idx="6">
                  <c:v>0.98944413103861673</c:v>
                </c:pt>
              </c:numCache>
            </c:numRef>
          </c:val>
        </c:ser>
        <c:ser>
          <c:idx val="3"/>
          <c:order val="3"/>
          <c:tx>
            <c:strRef>
              <c:f>'2012 Q4 Combined'!$Q$16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'2012 Q4 Combined'!$Q$17:$Q$23</c:f>
              <c:numCache>
                <c:formatCode>0.00%</c:formatCode>
                <c:ptCount val="7"/>
                <c:pt idx="0">
                  <c:v>0.9962646520676266</c:v>
                </c:pt>
                <c:pt idx="1">
                  <c:v>1</c:v>
                </c:pt>
                <c:pt idx="2">
                  <c:v>0.91809114193440833</c:v>
                </c:pt>
                <c:pt idx="3">
                  <c:v>0.99007455470920736</c:v>
                </c:pt>
                <c:pt idx="4">
                  <c:v>0.99921164715897837</c:v>
                </c:pt>
                <c:pt idx="5">
                  <c:v>0.87898018191112282</c:v>
                </c:pt>
                <c:pt idx="6">
                  <c:v>0.98427182084474252</c:v>
                </c:pt>
              </c:numCache>
            </c:numRef>
          </c:val>
        </c:ser>
        <c:ser>
          <c:idx val="4"/>
          <c:order val="4"/>
          <c:tx>
            <c:strRef>
              <c:f>'2012 Q4 Combined'!$M$16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'2012 Q4 Combined'!$M$17:$M$23</c:f>
              <c:numCache>
                <c:formatCode>0.00%</c:formatCode>
                <c:ptCount val="7"/>
                <c:pt idx="0">
                  <c:v>1.0118486920358052</c:v>
                </c:pt>
                <c:pt idx="1">
                  <c:v>1.0159079557616839</c:v>
                </c:pt>
                <c:pt idx="2">
                  <c:v>1.7376868978932902</c:v>
                </c:pt>
                <c:pt idx="3">
                  <c:v>1.0239974731400401</c:v>
                </c:pt>
                <c:pt idx="4">
                  <c:v>1.105455900621118</c:v>
                </c:pt>
                <c:pt idx="5">
                  <c:v>0.70112807282890266</c:v>
                </c:pt>
                <c:pt idx="6">
                  <c:v>1.2650871445837328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94208"/>
        <c:axId val="33295744"/>
      </c:barChart>
      <c:catAx>
        <c:axId val="3329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329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29574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3294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751505326540062"/>
          <c:y val="0.91525690644601632"/>
          <c:w val="0.23230585147444804"/>
          <c:h val="5.17006984296454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504320"/>
        <c:axId val="126514304"/>
      </c:barChart>
      <c:catAx>
        <c:axId val="12650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4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514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043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Combined Funds Expenditures 
Spent thru 4th Quarter of Fiscal Year (Excluding Bond Funds)</a:t>
            </a:r>
          </a:p>
        </c:rich>
      </c:tx>
      <c:layout>
        <c:manualLayout>
          <c:xMode val="edge"/>
          <c:yMode val="edge"/>
          <c:x val="0.21450158820237561"/>
          <c:y val="3.0092592592592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288E-2"/>
          <c:y val="0.20370416418946261"/>
          <c:w val="0.88821752265861031"/>
          <c:h val="0.513890050568871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'2012 Q4 Combined'!$AE$48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Q4 Combined'!$AE$49:$AE$61</c:f>
              <c:numCache>
                <c:formatCode>0.00%</c:formatCode>
                <c:ptCount val="13"/>
                <c:pt idx="0">
                  <c:v>1.463311682875253</c:v>
                </c:pt>
                <c:pt idx="1">
                  <c:v>1.7201254879461356</c:v>
                </c:pt>
                <c:pt idx="2">
                  <c:v>1.266194014153956</c:v>
                </c:pt>
                <c:pt idx="3">
                  <c:v>1.1922688567301507</c:v>
                </c:pt>
                <c:pt idx="4">
                  <c:v>0.9792846141267435</c:v>
                </c:pt>
                <c:pt idx="5">
                  <c:v>0.72324659563247307</c:v>
                </c:pt>
                <c:pt idx="6">
                  <c:v>1.0353833641666419</c:v>
                </c:pt>
                <c:pt idx="7">
                  <c:v>0.94441951878539865</c:v>
                </c:pt>
                <c:pt idx="8">
                  <c:v>0.99117315961722907</c:v>
                </c:pt>
                <c:pt idx="9">
                  <c:v>2.3804528290099753</c:v>
                </c:pt>
                <c:pt idx="10">
                  <c:v>1.0019460967434766</c:v>
                </c:pt>
                <c:pt idx="11">
                  <c:v>3.703159182415618</c:v>
                </c:pt>
                <c:pt idx="12">
                  <c:v>1.6007110297278357</c:v>
                </c:pt>
              </c:numCache>
            </c:numRef>
          </c:val>
        </c:ser>
        <c:ser>
          <c:idx val="1"/>
          <c:order val="1"/>
          <c:tx>
            <c:strRef>
              <c:f>'2012 Q4 Combined'!$Y$48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Q4 Combined'!$Y$49:$Y$61</c:f>
              <c:numCache>
                <c:formatCode>0.00%</c:formatCode>
                <c:ptCount val="13"/>
                <c:pt idx="0">
                  <c:v>0.91339774763245474</c:v>
                </c:pt>
                <c:pt idx="1">
                  <c:v>3.293316700021502</c:v>
                </c:pt>
                <c:pt idx="2">
                  <c:v>1.1196506639892527</c:v>
                </c:pt>
                <c:pt idx="3">
                  <c:v>1.0178600205740072</c:v>
                </c:pt>
                <c:pt idx="4">
                  <c:v>0.93312835994916321</c:v>
                </c:pt>
                <c:pt idx="5">
                  <c:v>0.75119452820314203</c:v>
                </c:pt>
                <c:pt idx="6">
                  <c:v>0.9771064760769782</c:v>
                </c:pt>
                <c:pt idx="7">
                  <c:v>0.8992203994047</c:v>
                </c:pt>
                <c:pt idx="8">
                  <c:v>0.97645243344170496</c:v>
                </c:pt>
                <c:pt idx="9">
                  <c:v>1.4466227190267889</c:v>
                </c:pt>
                <c:pt idx="10">
                  <c:v>0.95265627591359714</c:v>
                </c:pt>
                <c:pt idx="11">
                  <c:v>2.8317123542382272</c:v>
                </c:pt>
                <c:pt idx="12">
                  <c:v>2.9363479126607714</c:v>
                </c:pt>
              </c:numCache>
            </c:numRef>
          </c:val>
        </c:ser>
        <c:ser>
          <c:idx val="0"/>
          <c:order val="2"/>
          <c:tx>
            <c:strRef>
              <c:f>'2012 Q4 Combined'!$U$48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Q4 Combined'!$J$49:$J$61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 Admin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'2012 Q4 Combined'!$U$49:$U$61</c:f>
              <c:numCache>
                <c:formatCode>0.00%</c:formatCode>
                <c:ptCount val="13"/>
                <c:pt idx="0">
                  <c:v>0.80022630010013529</c:v>
                </c:pt>
                <c:pt idx="1">
                  <c:v>2.8894185192943298</c:v>
                </c:pt>
                <c:pt idx="2">
                  <c:v>1.0039065072598101</c:v>
                </c:pt>
                <c:pt idx="3">
                  <c:v>0.86352081894361765</c:v>
                </c:pt>
                <c:pt idx="4">
                  <c:v>0.93240581356412167</c:v>
                </c:pt>
                <c:pt idx="5">
                  <c:v>0.90317319760170711</c:v>
                </c:pt>
                <c:pt idx="6">
                  <c:v>1.056525954186236</c:v>
                </c:pt>
                <c:pt idx="7">
                  <c:v>0.90521858848924441</c:v>
                </c:pt>
                <c:pt idx="8">
                  <c:v>0.97977928283369808</c:v>
                </c:pt>
                <c:pt idx="9">
                  <c:v>1.5202083929855614</c:v>
                </c:pt>
                <c:pt idx="10">
                  <c:v>0.97956825569308981</c:v>
                </c:pt>
                <c:pt idx="11">
                  <c:v>2.9013115694711811</c:v>
                </c:pt>
                <c:pt idx="12">
                  <c:v>1.241760993918378</c:v>
                </c:pt>
              </c:numCache>
            </c:numRef>
          </c:val>
        </c:ser>
        <c:ser>
          <c:idx val="3"/>
          <c:order val="3"/>
          <c:tx>
            <c:strRef>
              <c:f>'2012 Q4 Combined'!$Q$48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'2012 Q4 Combined'!$Q$49:$Q$61</c:f>
              <c:numCache>
                <c:formatCode>0.00%</c:formatCode>
                <c:ptCount val="13"/>
                <c:pt idx="0">
                  <c:v>0.79840580919789672</c:v>
                </c:pt>
                <c:pt idx="1">
                  <c:v>0.91697920007895584</c:v>
                </c:pt>
                <c:pt idx="2">
                  <c:v>1.0481576672078146</c:v>
                </c:pt>
                <c:pt idx="3">
                  <c:v>0.895659591418142</c:v>
                </c:pt>
                <c:pt idx="4">
                  <c:v>0.92630159240400889</c:v>
                </c:pt>
                <c:pt idx="5">
                  <c:v>1.5919722206451106</c:v>
                </c:pt>
                <c:pt idx="6">
                  <c:v>0.90533028889626943</c:v>
                </c:pt>
                <c:pt idx="7">
                  <c:v>0.91565213591539929</c:v>
                </c:pt>
                <c:pt idx="8">
                  <c:v>0.94373337053499728</c:v>
                </c:pt>
                <c:pt idx="9">
                  <c:v>1.7951667974054455</c:v>
                </c:pt>
                <c:pt idx="10">
                  <c:v>0.96698965358656663</c:v>
                </c:pt>
                <c:pt idx="11">
                  <c:v>1.1890252707067828</c:v>
                </c:pt>
                <c:pt idx="12">
                  <c:v>1.9767732090556478</c:v>
                </c:pt>
              </c:numCache>
            </c:numRef>
          </c:val>
        </c:ser>
        <c:ser>
          <c:idx val="4"/>
          <c:order val="4"/>
          <c:tx>
            <c:strRef>
              <c:f>'2012 Q4 Combined'!$M$48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'2012 Q4 Combined'!$M$49:$M$61</c:f>
              <c:numCache>
                <c:formatCode>0.00%</c:formatCode>
                <c:ptCount val="13"/>
                <c:pt idx="0">
                  <c:v>0.77844309409332757</c:v>
                </c:pt>
                <c:pt idx="1">
                  <c:v>0.93605953308493595</c:v>
                </c:pt>
                <c:pt idx="2">
                  <c:v>0.98110160645325817</c:v>
                </c:pt>
                <c:pt idx="3">
                  <c:v>0.75855616808882176</c:v>
                </c:pt>
                <c:pt idx="4">
                  <c:v>0.929674734850925</c:v>
                </c:pt>
                <c:pt idx="5">
                  <c:v>0.75803873532184696</c:v>
                </c:pt>
                <c:pt idx="6">
                  <c:v>0.91597574175799301</c:v>
                </c:pt>
                <c:pt idx="7">
                  <c:v>0.89775409366077996</c:v>
                </c:pt>
                <c:pt idx="8">
                  <c:v>0.93219504319815361</c:v>
                </c:pt>
                <c:pt idx="9">
                  <c:v>0.88124650474815625</c:v>
                </c:pt>
                <c:pt idx="10">
                  <c:v>0.96028698642656929</c:v>
                </c:pt>
                <c:pt idx="11">
                  <c:v>1.0193772781515151</c:v>
                </c:pt>
                <c:pt idx="12">
                  <c:v>1.1604103882972212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21472"/>
        <c:axId val="35144448"/>
      </c:barChart>
      <c:catAx>
        <c:axId val="3492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5144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4444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921472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519637747984203"/>
          <c:y val="0.95139107611548557"/>
          <c:w val="0.23001757663174982"/>
          <c:h val="4.168149120248854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2012 Combined Funds Revenue by Source (Excluding Bond Funds)</a:t>
            </a:r>
          </a:p>
        </c:rich>
      </c:tx>
      <c:layout>
        <c:manualLayout>
          <c:xMode val="edge"/>
          <c:yMode val="edge"/>
          <c:x val="0.19076006610284824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09E-2"/>
          <c:w val="0.87928464977645304"/>
          <c:h val="0.732395373563178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'2012 Q3 Combined'!$D$16</c:f>
              <c:strCache>
                <c:ptCount val="1"/>
                <c:pt idx="0">
                  <c:v>YTD Collections as of 7/15/12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Q3 Combined'!$A$17:$B$23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'2012 Q3 Combined'!$D$17:$D$23</c:f>
              <c:numCache>
                <c:formatCode>#,##0</c:formatCode>
                <c:ptCount val="7"/>
                <c:pt idx="0" formatCode="_(&quot;$&quot;* #,##0_);_(&quot;$&quot;* \(#,##0\);_(&quot;$&quot;* &quot;-&quot;??_);_(@_)">
                  <c:v>174211368</c:v>
                </c:pt>
                <c:pt idx="1">
                  <c:v>232076</c:v>
                </c:pt>
                <c:pt idx="2">
                  <c:v>13613187</c:v>
                </c:pt>
                <c:pt idx="3">
                  <c:v>32026556</c:v>
                </c:pt>
                <c:pt idx="4">
                  <c:v>2944990</c:v>
                </c:pt>
                <c:pt idx="5">
                  <c:v>2118391</c:v>
                </c:pt>
                <c:pt idx="6">
                  <c:v>33073586</c:v>
                </c:pt>
              </c:numCache>
            </c:numRef>
          </c:val>
        </c:ser>
        <c:ser>
          <c:idx val="1"/>
          <c:order val="1"/>
          <c:tx>
            <c:strRef>
              <c:f>'2012 Q3 Combined'!$H$16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Q3 Combined'!$A$17:$B$23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'2012 Q3 Combined'!$H$17:$H$23</c:f>
              <c:numCache>
                <c:formatCode>"$"#,##0_);[Red]\("$"#,##0\)</c:formatCode>
                <c:ptCount val="7"/>
                <c:pt idx="0">
                  <c:v>0</c:v>
                </c:pt>
                <c:pt idx="1">
                  <c:v>48224</c:v>
                </c:pt>
                <c:pt idx="2" formatCode="#,##0_);[Red]\(#,##0\)">
                  <c:v>0</c:v>
                </c:pt>
                <c:pt idx="3" formatCode="#,##0_);[Red]\(#,##0\)">
                  <c:v>7731880</c:v>
                </c:pt>
                <c:pt idx="4" formatCode="#,##0_);[Red]\(#,##0\)">
                  <c:v>677510</c:v>
                </c:pt>
                <c:pt idx="5" formatCode="#,##0_);[Red]\(#,##0\)">
                  <c:v>1844651</c:v>
                </c:pt>
                <c:pt idx="6" formatCode="#,##0_);[Red]\(#,##0\)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650176"/>
        <c:axId val="35672832"/>
      </c:barChart>
      <c:lineChart>
        <c:grouping val="stacked"/>
        <c:varyColors val="0"/>
        <c:ser>
          <c:idx val="2"/>
          <c:order val="2"/>
          <c:tx>
            <c:strRef>
              <c:f>'2012 Q3 Combined'!$I$16</c:f>
              <c:strCache>
                <c:ptCount val="1"/>
                <c:pt idx="0">
                  <c:v>75%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'2012 Q3 Combined'!$I$17:$I$23</c:f>
              <c:numCache>
                <c:formatCode>0%</c:formatCode>
                <c:ptCount val="7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50176"/>
        <c:axId val="35672832"/>
      </c:lineChart>
      <c:catAx>
        <c:axId val="3565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5672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672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5650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9061098473801888"/>
          <c:y val="0.93239554914790579"/>
          <c:w val="0.77049168853893268"/>
          <c:h val="0.9915504787253706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2012 Combined Funds Expenditures by Function Area (Excluding Bond Funds)</a:t>
            </a:r>
          </a:p>
        </c:rich>
      </c:tx>
      <c:layout>
        <c:manualLayout>
          <c:xMode val="edge"/>
          <c:yMode val="edge"/>
          <c:x val="0.11209145523476231"/>
          <c:y val="3.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4128166915052"/>
          <c:y val="0.12259615384615384"/>
          <c:w val="0.87779433681073027"/>
          <c:h val="0.536057692307692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'2012 Q3 Combined'!$D$48</c:f>
              <c:strCache>
                <c:ptCount val="1"/>
                <c:pt idx="0">
                  <c:v>YTD Expenditures as of 7/15/12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Q3 Combined'!$A$49:$B$61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'2012 Q3 Combined'!$D$49:$D$61</c:f>
              <c:numCache>
                <c:formatCode>_(* #,##0_);_(* \(#,##0\);_(* "-"??_);_(@_)</c:formatCode>
                <c:ptCount val="13"/>
                <c:pt idx="0" formatCode="_(&quot;$&quot;* #,##0_);_(&quot;$&quot;* \(#,##0\);_(&quot;$&quot;* &quot;-&quot;_);_(@_)">
                  <c:v>182160</c:v>
                </c:pt>
                <c:pt idx="1">
                  <c:v>904062</c:v>
                </c:pt>
                <c:pt idx="2">
                  <c:v>35916621</c:v>
                </c:pt>
                <c:pt idx="3">
                  <c:v>2010909</c:v>
                </c:pt>
                <c:pt idx="4">
                  <c:v>7358371</c:v>
                </c:pt>
                <c:pt idx="5">
                  <c:v>20790147</c:v>
                </c:pt>
                <c:pt idx="6">
                  <c:v>12261976</c:v>
                </c:pt>
                <c:pt idx="7">
                  <c:v>11713595</c:v>
                </c:pt>
                <c:pt idx="8">
                  <c:v>7456774</c:v>
                </c:pt>
                <c:pt idx="9">
                  <c:v>8703059</c:v>
                </c:pt>
                <c:pt idx="10">
                  <c:v>46919857</c:v>
                </c:pt>
                <c:pt idx="11">
                  <c:v>15729719</c:v>
                </c:pt>
                <c:pt idx="12">
                  <c:v>25786183</c:v>
                </c:pt>
              </c:numCache>
            </c:numRef>
          </c:val>
        </c:ser>
        <c:ser>
          <c:idx val="1"/>
          <c:order val="1"/>
          <c:tx>
            <c:strRef>
              <c:f>'2012 Q3 Combined'!$H$48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Q3 Combined'!$A$49:$B$61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'2012 Q3 Combined'!$H$49:$H$61</c:f>
              <c:numCache>
                <c:formatCode>#,##0</c:formatCode>
                <c:ptCount val="13"/>
                <c:pt idx="0" formatCode="&quot;$&quot;#,##0_);[Red]\(&quot;$&quot;#,##0\)">
                  <c:v>122123</c:v>
                </c:pt>
                <c:pt idx="1">
                  <c:v>262617</c:v>
                </c:pt>
                <c:pt idx="2">
                  <c:v>8011081</c:v>
                </c:pt>
                <c:pt idx="3">
                  <c:v>1528672</c:v>
                </c:pt>
                <c:pt idx="4">
                  <c:v>2886809</c:v>
                </c:pt>
                <c:pt idx="5">
                  <c:v>14831501</c:v>
                </c:pt>
                <c:pt idx="6">
                  <c:v>5077945</c:v>
                </c:pt>
                <c:pt idx="7">
                  <c:v>5287203</c:v>
                </c:pt>
                <c:pt idx="8">
                  <c:v>3011266</c:v>
                </c:pt>
                <c:pt idx="9">
                  <c:v>5221188</c:v>
                </c:pt>
                <c:pt idx="10">
                  <c:v>16890687</c:v>
                </c:pt>
                <c:pt idx="11">
                  <c:v>4164974</c:v>
                </c:pt>
                <c:pt idx="12">
                  <c:v>1838094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686656"/>
        <c:axId val="35705216"/>
      </c:barChart>
      <c:lineChart>
        <c:grouping val="stacked"/>
        <c:varyColors val="0"/>
        <c:ser>
          <c:idx val="2"/>
          <c:order val="2"/>
          <c:tx>
            <c:strRef>
              <c:f>'2012 Q3 Combined'!$G$48</c:f>
              <c:strCache>
                <c:ptCount val="1"/>
                <c:pt idx="0">
                  <c:v>75%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'2012 Q3 Combined'!$I$49:$I$61</c:f>
              <c:numCache>
                <c:formatCode>0%</c:formatCode>
                <c:ptCount val="13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86656"/>
        <c:axId val="35705216"/>
      </c:lineChart>
      <c:catAx>
        <c:axId val="3568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570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705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5686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7570782541071254"/>
          <c:y val="0.92548076923076927"/>
          <c:w val="0.81073012540099143"/>
          <c:h val="0.978365384615384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14944"/>
        <c:axId val="35716480"/>
      </c:barChart>
      <c:catAx>
        <c:axId val="3571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716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716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7149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28864"/>
        <c:axId val="35830400"/>
      </c:barChart>
      <c:catAx>
        <c:axId val="3582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83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830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8288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77248"/>
        <c:axId val="35878784"/>
      </c:barChart>
      <c:catAx>
        <c:axId val="3587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878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878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8772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08992"/>
        <c:axId val="36045952"/>
      </c:barChart>
      <c:catAx>
        <c:axId val="3590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045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045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08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Combined Funds Revenue 
Collected 3rd Quarter of Fiscal Year (Excluding Bond Funds) </a:t>
            </a:r>
          </a:p>
        </c:rich>
      </c:tx>
      <c:layout>
        <c:manualLayout>
          <c:xMode val="edge"/>
          <c:yMode val="edge"/>
          <c:x val="0.22238690751891307"/>
          <c:y val="3.3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'2012 Q3 Combined'!$AC$16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Q3 Combined'!$AC$17:$AC$23</c:f>
              <c:numCache>
                <c:formatCode>0.00%</c:formatCode>
                <c:ptCount val="7"/>
                <c:pt idx="0">
                  <c:v>0.98536431733876151</c:v>
                </c:pt>
                <c:pt idx="1">
                  <c:v>0.73029748094766911</c:v>
                </c:pt>
                <c:pt idx="2">
                  <c:v>0.75077982546849797</c:v>
                </c:pt>
                <c:pt idx="3">
                  <c:v>0.7508168416365838</c:v>
                </c:pt>
                <c:pt idx="4">
                  <c:v>0.73832350415776316</c:v>
                </c:pt>
                <c:pt idx="5">
                  <c:v>1.027751345953726</c:v>
                </c:pt>
                <c:pt idx="6">
                  <c:v>0.52905776150197426</c:v>
                </c:pt>
              </c:numCache>
            </c:numRef>
          </c:val>
        </c:ser>
        <c:ser>
          <c:idx val="1"/>
          <c:order val="1"/>
          <c:tx>
            <c:strRef>
              <c:f>'2012 Q3 Combined'!$Y$16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Q3 Combined'!$Y$17:$Y$23</c:f>
              <c:numCache>
                <c:formatCode>0.00%</c:formatCode>
                <c:ptCount val="7"/>
                <c:pt idx="0">
                  <c:v>0.98807071423905934</c:v>
                </c:pt>
                <c:pt idx="1">
                  <c:v>0.79942505593614599</c:v>
                </c:pt>
                <c:pt idx="2">
                  <c:v>0.65193959182069483</c:v>
                </c:pt>
                <c:pt idx="3">
                  <c:v>0.70603104953920837</c:v>
                </c:pt>
                <c:pt idx="4">
                  <c:v>0.74249294946675537</c:v>
                </c:pt>
                <c:pt idx="5">
                  <c:v>0.98605817328150058</c:v>
                </c:pt>
                <c:pt idx="6">
                  <c:v>0.34505316458092422</c:v>
                </c:pt>
              </c:numCache>
            </c:numRef>
          </c:val>
        </c:ser>
        <c:ser>
          <c:idx val="0"/>
          <c:order val="2"/>
          <c:tx>
            <c:strRef>
              <c:f>'2012 Q3 Combined'!$U$16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Q3 Combined'!$J$17:$J$23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'2012 Q3 Combined'!$U$17:$U$23</c:f>
              <c:numCache>
                <c:formatCode>0.00%</c:formatCode>
                <c:ptCount val="7"/>
                <c:pt idx="0">
                  <c:v>0.99143609091920493</c:v>
                </c:pt>
                <c:pt idx="1">
                  <c:v>0.83243321469081244</c:v>
                </c:pt>
                <c:pt idx="2">
                  <c:v>0.53449476746066449</c:v>
                </c:pt>
                <c:pt idx="3">
                  <c:v>0.75913308111364508</c:v>
                </c:pt>
                <c:pt idx="4">
                  <c:v>0.74601284122335298</c:v>
                </c:pt>
                <c:pt idx="5">
                  <c:v>0.93620944488505375</c:v>
                </c:pt>
                <c:pt idx="6">
                  <c:v>0.84142731728142306</c:v>
                </c:pt>
              </c:numCache>
            </c:numRef>
          </c:val>
        </c:ser>
        <c:ser>
          <c:idx val="3"/>
          <c:order val="3"/>
          <c:tx>
            <c:strRef>
              <c:f>'2012 Q3 Combined'!$Q$16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'2012 Q3 Combined'!$Q$17:$Q$23</c:f>
              <c:numCache>
                <c:formatCode>0.00%</c:formatCode>
                <c:ptCount val="7"/>
                <c:pt idx="0">
                  <c:v>0.99192059995722792</c:v>
                </c:pt>
                <c:pt idx="1">
                  <c:v>0.82592722904245242</c:v>
                </c:pt>
                <c:pt idx="2">
                  <c:v>0.7261304990803934</c:v>
                </c:pt>
                <c:pt idx="3">
                  <c:v>0.75423697281296098</c:v>
                </c:pt>
                <c:pt idx="4">
                  <c:v>0.70160805615275945</c:v>
                </c:pt>
                <c:pt idx="5">
                  <c:v>0.66109124245502449</c:v>
                </c:pt>
                <c:pt idx="6">
                  <c:v>0.91803498131989469</c:v>
                </c:pt>
              </c:numCache>
            </c:numRef>
          </c:val>
        </c:ser>
        <c:ser>
          <c:idx val="4"/>
          <c:order val="4"/>
          <c:tx>
            <c:strRef>
              <c:f>'2012 Q3 Combined'!$M$16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'2012 Q3 Combined'!$M$17:$M$23</c:f>
              <c:numCache>
                <c:formatCode>0.00%</c:formatCode>
                <c:ptCount val="7"/>
                <c:pt idx="0">
                  <c:v>1.0074649728819636</c:v>
                </c:pt>
                <c:pt idx="1">
                  <c:v>0.82795576168391005</c:v>
                </c:pt>
                <c:pt idx="2">
                  <c:v>1.3753679460319215</c:v>
                </c:pt>
                <c:pt idx="3">
                  <c:v>0.80552856757242663</c:v>
                </c:pt>
                <c:pt idx="4">
                  <c:v>0.81297170462387858</c:v>
                </c:pt>
                <c:pt idx="5">
                  <c:v>0.53453660092423949</c:v>
                </c:pt>
                <c:pt idx="6">
                  <c:v>1.1448709061759383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61568"/>
        <c:axId val="36063104"/>
      </c:barChart>
      <c:catAx>
        <c:axId val="3606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6063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06310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6061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751505326540062"/>
          <c:y val="0.91525690644601632"/>
          <c:w val="0.23230585147444804"/>
          <c:h val="5.17006984296454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Combined Funds Expenditures 
Spent 3rd Quarter of Fiscal Year (Excluding Bond Funds)</a:t>
            </a:r>
          </a:p>
        </c:rich>
      </c:tx>
      <c:layout>
        <c:manualLayout>
          <c:xMode val="edge"/>
          <c:yMode val="edge"/>
          <c:x val="0.21450158820237561"/>
          <c:y val="3.0092592592592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288E-2"/>
          <c:y val="0.20370416418946261"/>
          <c:w val="0.88821752265861031"/>
          <c:h val="0.513890050568871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'2012 Q3 Combined'!$AE$48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Q3 Combined'!$AE$49:$AE$61</c:f>
              <c:numCache>
                <c:formatCode>0.00%</c:formatCode>
                <c:ptCount val="13"/>
                <c:pt idx="0">
                  <c:v>0.68380236957737051</c:v>
                </c:pt>
                <c:pt idx="1">
                  <c:v>1.2452108269212006</c:v>
                </c:pt>
                <c:pt idx="2">
                  <c:v>0.79795696164539764</c:v>
                </c:pt>
                <c:pt idx="3">
                  <c:v>0.85435158409067102</c:v>
                </c:pt>
                <c:pt idx="4">
                  <c:v>0.68233298731137515</c:v>
                </c:pt>
                <c:pt idx="5">
                  <c:v>0.5540205676801947</c:v>
                </c:pt>
                <c:pt idx="6">
                  <c:v>0.70144232493292746</c:v>
                </c:pt>
                <c:pt idx="7">
                  <c:v>0.66545879056542434</c:v>
                </c:pt>
                <c:pt idx="8">
                  <c:v>0.70899500248443403</c:v>
                </c:pt>
                <c:pt idx="9">
                  <c:v>1.4629938402081082</c:v>
                </c:pt>
                <c:pt idx="10">
                  <c:v>0.71430861700959669</c:v>
                </c:pt>
                <c:pt idx="11">
                  <c:v>2.2429758955579722</c:v>
                </c:pt>
                <c:pt idx="12">
                  <c:v>0.86059840562600887</c:v>
                </c:pt>
              </c:numCache>
            </c:numRef>
          </c:val>
        </c:ser>
        <c:ser>
          <c:idx val="1"/>
          <c:order val="1"/>
          <c:tx>
            <c:strRef>
              <c:f>'2012 Q3 Combined'!$Y$48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Q3 Combined'!$Y$49:$Y$61</c:f>
              <c:numCache>
                <c:formatCode>0.00%</c:formatCode>
                <c:ptCount val="13"/>
                <c:pt idx="0">
                  <c:v>0.63328731905696334</c:v>
                </c:pt>
                <c:pt idx="1">
                  <c:v>1.8164928879773741</c:v>
                </c:pt>
                <c:pt idx="2">
                  <c:v>0.79487038587086734</c:v>
                </c:pt>
                <c:pt idx="3">
                  <c:v>0.82191295713113721</c:v>
                </c:pt>
                <c:pt idx="4">
                  <c:v>0.66761999220812263</c:v>
                </c:pt>
                <c:pt idx="5">
                  <c:v>0.57483186816877063</c:v>
                </c:pt>
                <c:pt idx="6">
                  <c:v>0.69861526280912989</c:v>
                </c:pt>
                <c:pt idx="7">
                  <c:v>0.66091763845080798</c:v>
                </c:pt>
                <c:pt idx="8">
                  <c:v>0.70593584482403493</c:v>
                </c:pt>
                <c:pt idx="9">
                  <c:v>1.1890314728674238</c:v>
                </c:pt>
                <c:pt idx="10">
                  <c:v>0.69285779414316595</c:v>
                </c:pt>
                <c:pt idx="11">
                  <c:v>2.0922673523738018</c:v>
                </c:pt>
                <c:pt idx="12">
                  <c:v>0.89304128280775075</c:v>
                </c:pt>
              </c:numCache>
            </c:numRef>
          </c:val>
        </c:ser>
        <c:ser>
          <c:idx val="0"/>
          <c:order val="2"/>
          <c:tx>
            <c:strRef>
              <c:f>'2012 Q3 Combined'!$U$48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Q3 Combined'!$J$49:$J$61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 Admin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'2012 Q3 Combined'!$U$49:$U$61</c:f>
              <c:numCache>
                <c:formatCode>0.00%</c:formatCode>
                <c:ptCount val="13"/>
                <c:pt idx="0">
                  <c:v>0.58335889141231234</c:v>
                </c:pt>
                <c:pt idx="1">
                  <c:v>1.8363813375993354</c:v>
                </c:pt>
                <c:pt idx="2">
                  <c:v>0.80285417059285502</c:v>
                </c:pt>
                <c:pt idx="3">
                  <c:v>0.71256320085703972</c:v>
                </c:pt>
                <c:pt idx="4">
                  <c:v>0.7212154428761387</c:v>
                </c:pt>
                <c:pt idx="5">
                  <c:v>0.65417901271000489</c:v>
                </c:pt>
                <c:pt idx="6">
                  <c:v>0.79098047807320482</c:v>
                </c:pt>
                <c:pt idx="7">
                  <c:v>0.68862151052924214</c:v>
                </c:pt>
                <c:pt idx="8">
                  <c:v>0.73895144196357276</c:v>
                </c:pt>
                <c:pt idx="9">
                  <c:v>0.9000369978618008</c:v>
                </c:pt>
                <c:pt idx="10">
                  <c:v>0.73650506561416262</c:v>
                </c:pt>
                <c:pt idx="11">
                  <c:v>2.3730917420551836</c:v>
                </c:pt>
                <c:pt idx="12">
                  <c:v>0.98265315858171343</c:v>
                </c:pt>
              </c:numCache>
            </c:numRef>
          </c:val>
        </c:ser>
        <c:ser>
          <c:idx val="3"/>
          <c:order val="3"/>
          <c:tx>
            <c:strRef>
              <c:f>'2012 Q3 Combined'!$Q$48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'2012 Q3 Combined'!$Q$49:$Q$61</c:f>
              <c:numCache>
                <c:formatCode>0.00%</c:formatCode>
                <c:ptCount val="13"/>
                <c:pt idx="0">
                  <c:v>0.59350638510975706</c:v>
                </c:pt>
                <c:pt idx="1">
                  <c:v>0.74170964001085637</c:v>
                </c:pt>
                <c:pt idx="2">
                  <c:v>0.86153305064868768</c:v>
                </c:pt>
                <c:pt idx="3">
                  <c:v>0.68182819341371548</c:v>
                </c:pt>
                <c:pt idx="4">
                  <c:v>0.71069212807735571</c:v>
                </c:pt>
                <c:pt idx="5">
                  <c:v>0.57871788579122574</c:v>
                </c:pt>
                <c:pt idx="6">
                  <c:v>0.70139204606958061</c:v>
                </c:pt>
                <c:pt idx="7">
                  <c:v>0.69853566172127834</c:v>
                </c:pt>
                <c:pt idx="8">
                  <c:v>0.72441157277682577</c:v>
                </c:pt>
                <c:pt idx="9">
                  <c:v>1.4698695640208952</c:v>
                </c:pt>
                <c:pt idx="10">
                  <c:v>0.73576741905788501</c:v>
                </c:pt>
                <c:pt idx="11">
                  <c:v>0.88446711889726015</c:v>
                </c:pt>
                <c:pt idx="12">
                  <c:v>1.7594773712713203</c:v>
                </c:pt>
              </c:numCache>
            </c:numRef>
          </c:val>
        </c:ser>
        <c:ser>
          <c:idx val="4"/>
          <c:order val="4"/>
          <c:tx>
            <c:strRef>
              <c:f>'2012 Q3 Combined'!$M$48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'2012 Q3 Combined'!$M$49:$M$61</c:f>
              <c:numCache>
                <c:formatCode>0.00%</c:formatCode>
                <c:ptCount val="13"/>
                <c:pt idx="0">
                  <c:v>0.59865322742315541</c:v>
                </c:pt>
                <c:pt idx="1">
                  <c:v>0.77490209389215026</c:v>
                </c:pt>
                <c:pt idx="2">
                  <c:v>0.81763031901828143</c:v>
                </c:pt>
                <c:pt idx="3">
                  <c:v>0.56812063348740993</c:v>
                </c:pt>
                <c:pt idx="4">
                  <c:v>0.7182275958060278</c:v>
                </c:pt>
                <c:pt idx="5">
                  <c:v>0.58363798889933449</c:v>
                </c:pt>
                <c:pt idx="6">
                  <c:v>0.70715293339571728</c:v>
                </c:pt>
                <c:pt idx="7">
                  <c:v>0.68900265740467004</c:v>
                </c:pt>
                <c:pt idx="8">
                  <c:v>0.71233717104634675</c:v>
                </c:pt>
                <c:pt idx="9">
                  <c:v>0.62502905902200667</c:v>
                </c:pt>
                <c:pt idx="10">
                  <c:v>0.73529943577976709</c:v>
                </c:pt>
                <c:pt idx="11">
                  <c:v>0.79064899367886698</c:v>
                </c:pt>
                <c:pt idx="12">
                  <c:v>0.93346091917627383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99584"/>
        <c:axId val="36101120"/>
      </c:barChart>
      <c:catAx>
        <c:axId val="3609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610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10112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6099584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519637747984203"/>
          <c:y val="0.95139107611548557"/>
          <c:w val="0.23001757663174982"/>
          <c:h val="4.168149120248854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2012 Combined Funds Revenue by Source (Excluding Bond Funds)</a:t>
            </a:r>
          </a:p>
        </c:rich>
      </c:tx>
      <c:layout>
        <c:manualLayout>
          <c:xMode val="edge"/>
          <c:yMode val="edge"/>
          <c:x val="0.19076006610284824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09E-2"/>
          <c:w val="0.87928464977645304"/>
          <c:h val="0.732395373563178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'2012 Q2 Combined'!$D$16</c:f>
              <c:strCache>
                <c:ptCount val="1"/>
                <c:pt idx="0">
                  <c:v>YTD Collections as of 4/15/12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Q2 Combined'!$A$17:$B$23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'2012 Q2 Combined'!$D$17:$D$23</c:f>
              <c:numCache>
                <c:formatCode>#,##0</c:formatCode>
                <c:ptCount val="7"/>
                <c:pt idx="0" formatCode="_(&quot;$&quot;* #,##0_);_(&quot;$&quot;* \(#,##0\);_(&quot;$&quot;* &quot;-&quot;??_);_(@_)">
                  <c:v>170913096.28</c:v>
                </c:pt>
                <c:pt idx="1">
                  <c:v>159499.79999999999</c:v>
                </c:pt>
                <c:pt idx="2">
                  <c:v>9059766.3100000005</c:v>
                </c:pt>
                <c:pt idx="3">
                  <c:v>18737616.699999999</c:v>
                </c:pt>
                <c:pt idx="4">
                  <c:v>1903558.8</c:v>
                </c:pt>
                <c:pt idx="5">
                  <c:v>1833997.13</c:v>
                </c:pt>
                <c:pt idx="6">
                  <c:v>30675366.979999997</c:v>
                </c:pt>
              </c:numCache>
            </c:numRef>
          </c:val>
        </c:ser>
        <c:ser>
          <c:idx val="1"/>
          <c:order val="1"/>
          <c:tx>
            <c:strRef>
              <c:f>'2012 Q2 Combined'!$H$16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Q2 Combined'!$A$17:$B$23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'2012 Q2 Combined'!$H$17:$H$23</c:f>
              <c:numCache>
                <c:formatCode>"$"#,##0_);[Red]\("$"#,##0\)</c:formatCode>
                <c:ptCount val="7"/>
                <c:pt idx="0">
                  <c:v>2007424.7199999988</c:v>
                </c:pt>
                <c:pt idx="1">
                  <c:v>120800.20000000001</c:v>
                </c:pt>
                <c:pt idx="2" formatCode="#,##0_);[Red]\(#,##0\)">
                  <c:v>838084.68999999948</c:v>
                </c:pt>
                <c:pt idx="3" formatCode="#,##0_);[Red]\(#,##0\)">
                  <c:v>21020819.300000001</c:v>
                </c:pt>
                <c:pt idx="4" formatCode="#,##0_);[Red]\(#,##0\)">
                  <c:v>1718941.2</c:v>
                </c:pt>
                <c:pt idx="5" formatCode="#,##0_);[Red]\(#,##0\)">
                  <c:v>2129044.87</c:v>
                </c:pt>
                <c:pt idx="6" formatCode="#,##0_);[Red]\(#,##0\)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131968"/>
        <c:axId val="36133888"/>
      </c:barChart>
      <c:lineChart>
        <c:grouping val="stacked"/>
        <c:varyColors val="0"/>
        <c:ser>
          <c:idx val="2"/>
          <c:order val="2"/>
          <c:tx>
            <c:strRef>
              <c:f>'2012 Q2 Combined'!$I$16</c:f>
              <c:strCache>
                <c:ptCount val="1"/>
                <c:pt idx="0">
                  <c:v>50%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'2012 Q2 Combined'!$I$17:$I$23</c:f>
              <c:numCache>
                <c:formatCode>0%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1968"/>
        <c:axId val="36133888"/>
      </c:lineChart>
      <c:catAx>
        <c:axId val="3613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613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13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61319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9061098473801888"/>
          <c:y val="0.93239554914790579"/>
          <c:w val="0.77049168853893268"/>
          <c:h val="0.9915504787253706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335616"/>
        <c:axId val="126620032"/>
      </c:barChart>
      <c:catAx>
        <c:axId val="12633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620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6620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356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2012 Combined Funds Expenditures by Function Area (Excluding Bond Funds)</a:t>
            </a:r>
          </a:p>
        </c:rich>
      </c:tx>
      <c:layout>
        <c:manualLayout>
          <c:xMode val="edge"/>
          <c:yMode val="edge"/>
          <c:x val="0.11209145523476231"/>
          <c:y val="3.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4128166915052"/>
          <c:y val="0.12259615384615384"/>
          <c:w val="0.87779433681073027"/>
          <c:h val="0.536057692307692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'2012 Q2 Combined'!$D$48</c:f>
              <c:strCache>
                <c:ptCount val="1"/>
                <c:pt idx="0">
                  <c:v>YTD Expenditures as of 4/15/12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Q2 Combined'!$A$49:$B$61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'2012 Q2 Combined'!$D$49:$D$61</c:f>
              <c:numCache>
                <c:formatCode>_(* #,##0_);_(* \(#,##0\);_(* "-"??_);_(@_)</c:formatCode>
                <c:ptCount val="13"/>
                <c:pt idx="0" formatCode="_(&quot;$&quot;* #,##0_);_(&quot;$&quot;* \(#,##0\);_(&quot;$&quot;* &quot;-&quot;_);_(@_)">
                  <c:v>132819.22</c:v>
                </c:pt>
                <c:pt idx="1">
                  <c:v>560939.68000000005</c:v>
                </c:pt>
                <c:pt idx="2">
                  <c:v>34951925.020000003</c:v>
                </c:pt>
                <c:pt idx="3">
                  <c:v>1181233.3400000001</c:v>
                </c:pt>
                <c:pt idx="4">
                  <c:v>5458810.4699999997</c:v>
                </c:pt>
                <c:pt idx="5">
                  <c:v>13285639.1</c:v>
                </c:pt>
                <c:pt idx="6">
                  <c:v>8354114.6100000003</c:v>
                </c:pt>
                <c:pt idx="7">
                  <c:v>8651472.4900000002</c:v>
                </c:pt>
                <c:pt idx="8">
                  <c:v>5434989.46</c:v>
                </c:pt>
                <c:pt idx="9">
                  <c:v>6037267.8700000001</c:v>
                </c:pt>
                <c:pt idx="10">
                  <c:v>34442234.340000004</c:v>
                </c:pt>
                <c:pt idx="11">
                  <c:v>12082938.189999999</c:v>
                </c:pt>
                <c:pt idx="12">
                  <c:v>19537289.239999998</c:v>
                </c:pt>
              </c:numCache>
            </c:numRef>
          </c:val>
        </c:ser>
        <c:ser>
          <c:idx val="1"/>
          <c:order val="1"/>
          <c:tx>
            <c:strRef>
              <c:f>'2012 Q2 Combined'!$H$48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Q2 Combined'!$A$49:$B$61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'2012 Q2 Combined'!$H$49:$H$61</c:f>
              <c:numCache>
                <c:formatCode>#,##0</c:formatCode>
                <c:ptCount val="13"/>
                <c:pt idx="0" formatCode="&quot;$&quot;#,##0_);[Red]\(&quot;$&quot;#,##0\)">
                  <c:v>171463.78</c:v>
                </c:pt>
                <c:pt idx="1">
                  <c:v>605739.31999999995</c:v>
                </c:pt>
                <c:pt idx="2">
                  <c:v>8975776.9799999967</c:v>
                </c:pt>
                <c:pt idx="3">
                  <c:v>2358347.66</c:v>
                </c:pt>
                <c:pt idx="4">
                  <c:v>4786369.53</c:v>
                </c:pt>
                <c:pt idx="5">
                  <c:v>22336008.899999999</c:v>
                </c:pt>
                <c:pt idx="6">
                  <c:v>8985806.3900000006</c:v>
                </c:pt>
                <c:pt idx="7">
                  <c:v>8349325.5099999998</c:v>
                </c:pt>
                <c:pt idx="8">
                  <c:v>5033050.54</c:v>
                </c:pt>
                <c:pt idx="9">
                  <c:v>7886979.1299999999</c:v>
                </c:pt>
                <c:pt idx="10">
                  <c:v>29368309.659999996</c:v>
                </c:pt>
                <c:pt idx="11">
                  <c:v>7811754.8100000005</c:v>
                </c:pt>
                <c:pt idx="12">
                  <c:v>8086987.7600000016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164352"/>
        <c:axId val="36166272"/>
      </c:barChart>
      <c:lineChart>
        <c:grouping val="stacked"/>
        <c:varyColors val="0"/>
        <c:ser>
          <c:idx val="2"/>
          <c:order val="2"/>
          <c:tx>
            <c:strRef>
              <c:f>'2012 Q2 Combined'!$G$48</c:f>
              <c:strCache>
                <c:ptCount val="1"/>
                <c:pt idx="0">
                  <c:v>50%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'2012 Q2 Combined'!$I$49:$I$61</c:f>
              <c:numCache>
                <c:formatCode>0%</c:formatCode>
                <c:ptCount val="13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64352"/>
        <c:axId val="36166272"/>
      </c:lineChart>
      <c:catAx>
        <c:axId val="361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616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16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61643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7570782541071254"/>
          <c:y val="0.92548076923076927"/>
          <c:w val="0.81073012540099143"/>
          <c:h val="0.978365384615384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13120"/>
        <c:axId val="36214656"/>
      </c:barChart>
      <c:catAx>
        <c:axId val="3621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21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214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2131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57152"/>
        <c:axId val="36258944"/>
      </c:barChart>
      <c:catAx>
        <c:axId val="3625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25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258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2571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87456"/>
        <c:axId val="36426112"/>
      </c:barChart>
      <c:catAx>
        <c:axId val="3638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26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426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3874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48128"/>
        <c:axId val="36449664"/>
      </c:barChart>
      <c:catAx>
        <c:axId val="3644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49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449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481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Combined Funds Revenue 
Collected 2nd Quarter of Fiscal Year (Excluding Bond Funds) </a:t>
            </a:r>
          </a:p>
        </c:rich>
      </c:tx>
      <c:layout>
        <c:manualLayout>
          <c:xMode val="edge"/>
          <c:yMode val="edge"/>
          <c:x val="0.22238690751891307"/>
          <c:y val="3.3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'2012 Q2 Combined'!$M$16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'2012 Q2 Combined'!$M$17:$M$23</c:f>
              <c:numCache>
                <c:formatCode>0.00%</c:formatCode>
                <c:ptCount val="7"/>
                <c:pt idx="0">
                  <c:v>0.98839105556477014</c:v>
                </c:pt>
                <c:pt idx="1">
                  <c:v>0.56903246521584017</c:v>
                </c:pt>
                <c:pt idx="2">
                  <c:v>0.91532660069342331</c:v>
                </c:pt>
                <c:pt idx="3">
                  <c:v>0.47128656418979858</c:v>
                </c:pt>
                <c:pt idx="4">
                  <c:v>0.5254820703933748</c:v>
                </c:pt>
                <c:pt idx="5">
                  <c:v>0.46277509297151026</c:v>
                </c:pt>
                <c:pt idx="6">
                  <c:v>1.0618544717730956</c:v>
                </c:pt>
              </c:numCache>
            </c:numRef>
          </c:val>
        </c:ser>
        <c:ser>
          <c:idx val="3"/>
          <c:order val="1"/>
          <c:tx>
            <c:strRef>
              <c:f>'2012 Q2 Combined'!$Q$16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'2012 Q2 Combined'!$Q$17:$Q$23</c:f>
              <c:numCache>
                <c:formatCode>0.00%</c:formatCode>
                <c:ptCount val="7"/>
                <c:pt idx="0">
                  <c:v>0.97352817118000712</c:v>
                </c:pt>
                <c:pt idx="1">
                  <c:v>0.59866617218677398</c:v>
                </c:pt>
                <c:pt idx="2">
                  <c:v>0.4200367785321949</c:v>
                </c:pt>
                <c:pt idx="3">
                  <c:v>0.48780878849495662</c:v>
                </c:pt>
                <c:pt idx="4">
                  <c:v>0.46472048890993495</c:v>
                </c:pt>
                <c:pt idx="5">
                  <c:v>0.50771715838864839</c:v>
                </c:pt>
                <c:pt idx="6">
                  <c:v>0.86935798376873397</c:v>
                </c:pt>
              </c:numCache>
            </c:numRef>
          </c:val>
        </c:ser>
        <c:ser>
          <c:idx val="0"/>
          <c:order val="2"/>
          <c:tx>
            <c:strRef>
              <c:f>'2012 Q2 Combined'!$U$16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Q2 Combined'!$J$17:$J$23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'2012 Q2 Combined'!$U$17:$U$23</c:f>
              <c:numCache>
                <c:formatCode>0.00%</c:formatCode>
                <c:ptCount val="7"/>
                <c:pt idx="0">
                  <c:v>0.96962204383742301</c:v>
                </c:pt>
                <c:pt idx="1">
                  <c:v>0.5437047756874096</c:v>
                </c:pt>
                <c:pt idx="2">
                  <c:v>0.33446946094292174</c:v>
                </c:pt>
                <c:pt idx="3">
                  <c:v>0.46714103254052736</c:v>
                </c:pt>
                <c:pt idx="4">
                  <c:v>0.44218640051119484</c:v>
                </c:pt>
                <c:pt idx="5">
                  <c:v>0.50318177495533245</c:v>
                </c:pt>
                <c:pt idx="6">
                  <c:v>0.73957543497778033</c:v>
                </c:pt>
              </c:numCache>
            </c:numRef>
          </c:val>
        </c:ser>
        <c:ser>
          <c:idx val="1"/>
          <c:order val="3"/>
          <c:tx>
            <c:strRef>
              <c:f>'2012 Q2 Combined'!$Y$16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Q2 Combined'!$Y$17:$Y$23</c:f>
              <c:numCache>
                <c:formatCode>0.00%</c:formatCode>
                <c:ptCount val="7"/>
                <c:pt idx="0">
                  <c:v>0.96528740027345694</c:v>
                </c:pt>
                <c:pt idx="1">
                  <c:v>0.58108996654661782</c:v>
                </c:pt>
                <c:pt idx="2">
                  <c:v>0.46571526274201241</c:v>
                </c:pt>
                <c:pt idx="3">
                  <c:v>0.4857511399120833</c:v>
                </c:pt>
                <c:pt idx="4">
                  <c:v>0.47659268680289146</c:v>
                </c:pt>
                <c:pt idx="5">
                  <c:v>0.67798563851909099</c:v>
                </c:pt>
                <c:pt idx="6">
                  <c:v>0.29262499082726134</c:v>
                </c:pt>
              </c:numCache>
            </c:numRef>
          </c:val>
        </c:ser>
        <c:ser>
          <c:idx val="2"/>
          <c:order val="4"/>
          <c:tx>
            <c:strRef>
              <c:f>'2012 Q2 Combined'!$AC$16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Q2 Combined'!$AC$17:$AC$23</c:f>
              <c:numCache>
                <c:formatCode>0.00%</c:formatCode>
                <c:ptCount val="7"/>
                <c:pt idx="0">
                  <c:v>0.95856794598134565</c:v>
                </c:pt>
                <c:pt idx="1">
                  <c:v>0.47183898008280101</c:v>
                </c:pt>
                <c:pt idx="2">
                  <c:v>0.42026792984344541</c:v>
                </c:pt>
                <c:pt idx="3">
                  <c:v>0.49727950150935984</c:v>
                </c:pt>
                <c:pt idx="4">
                  <c:v>0.32179485756941967</c:v>
                </c:pt>
                <c:pt idx="5">
                  <c:v>0.73474333849487794</c:v>
                </c:pt>
                <c:pt idx="6">
                  <c:v>0.43565578323237614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89856"/>
        <c:axId val="36774272"/>
      </c:barChart>
      <c:catAx>
        <c:axId val="3648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677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77427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64898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751505326540062"/>
          <c:y val="0.91525690644601632"/>
          <c:w val="0.23230585147444804"/>
          <c:h val="5.17006984296454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Combined Funds Expenditures 
Spent 2nd Quarter of Fiscal Year (Excluding Bond Funds)</a:t>
            </a:r>
          </a:p>
        </c:rich>
      </c:tx>
      <c:layout>
        <c:manualLayout>
          <c:xMode val="edge"/>
          <c:yMode val="edge"/>
          <c:x val="0.21450158820237561"/>
          <c:y val="3.0092592592592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288E-2"/>
          <c:y val="0.20370416418946261"/>
          <c:w val="0.88821752265861031"/>
          <c:h val="0.51389005056887149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'2012 Q2 Combined'!$M$48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'2012 Q2 Combined'!$M$49:$M$61</c:f>
              <c:numCache>
                <c:formatCode>0.00%</c:formatCode>
                <c:ptCount val="13"/>
                <c:pt idx="0">
                  <c:v>0.43649898285477662</c:v>
                </c:pt>
                <c:pt idx="1">
                  <c:v>0.48080035725336623</c:v>
                </c:pt>
                <c:pt idx="2">
                  <c:v>0.79566932547484504</c:v>
                </c:pt>
                <c:pt idx="3">
                  <c:v>0.3337212342364817</c:v>
                </c:pt>
                <c:pt idx="4">
                  <c:v>0.5328174292691783</c:v>
                </c:pt>
                <c:pt idx="5">
                  <c:v>0.37296531311521575</c:v>
                </c:pt>
                <c:pt idx="6">
                  <c:v>0.48178504446473547</c:v>
                </c:pt>
                <c:pt idx="7">
                  <c:v>0.50888625875091276</c:v>
                </c:pt>
                <c:pt idx="8">
                  <c:v>0.51919838479791824</c:v>
                </c:pt>
                <c:pt idx="9">
                  <c:v>0.43357948691947218</c:v>
                </c:pt>
                <c:pt idx="10">
                  <c:v>0.53975772938089983</c:v>
                </c:pt>
                <c:pt idx="11">
                  <c:v>0.60734479240267736</c:v>
                </c:pt>
                <c:pt idx="12">
                  <c:v>0.70725069981017052</c:v>
                </c:pt>
              </c:numCache>
            </c:numRef>
          </c:val>
        </c:ser>
        <c:ser>
          <c:idx val="3"/>
          <c:order val="1"/>
          <c:tx>
            <c:strRef>
              <c:f>'2012 Q2 Combined'!$Q$48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'2012 Q2 Combined'!$Q$49:$Q$61</c:f>
              <c:numCache>
                <c:formatCode>0.00%</c:formatCode>
                <c:ptCount val="13"/>
                <c:pt idx="0">
                  <c:v>0.38853184208329855</c:v>
                </c:pt>
                <c:pt idx="1">
                  <c:v>1.5433419808743651</c:v>
                </c:pt>
                <c:pt idx="2">
                  <c:v>0.86145256830651351</c:v>
                </c:pt>
                <c:pt idx="3">
                  <c:v>0.34278367180122687</c:v>
                </c:pt>
                <c:pt idx="4">
                  <c:v>0.49734681198501351</c:v>
                </c:pt>
                <c:pt idx="5">
                  <c:v>0.43470854985160284</c:v>
                </c:pt>
                <c:pt idx="6">
                  <c:v>0.4441729739313407</c:v>
                </c:pt>
                <c:pt idx="7">
                  <c:v>0.48767759764913249</c:v>
                </c:pt>
                <c:pt idx="8">
                  <c:v>0.50405440009104618</c:v>
                </c:pt>
                <c:pt idx="9">
                  <c:v>1.4265301117158768</c:v>
                </c:pt>
                <c:pt idx="10">
                  <c:v>0.51028226614142191</c:v>
                </c:pt>
                <c:pt idx="11">
                  <c:v>1.4939678010828727</c:v>
                </c:pt>
                <c:pt idx="12">
                  <c:v>1.4935829842608968</c:v>
                </c:pt>
              </c:numCache>
            </c:numRef>
          </c:val>
        </c:ser>
        <c:ser>
          <c:idx val="0"/>
          <c:order val="2"/>
          <c:tx>
            <c:strRef>
              <c:f>'2012 Q2 Combined'!$U$48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Q2 Combined'!$J$49:$J$61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 Admin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'2012 Q2 Combined'!$U$49:$U$61</c:f>
              <c:numCache>
                <c:formatCode>0.00%</c:formatCode>
                <c:ptCount val="13"/>
                <c:pt idx="0">
                  <c:v>0.42521139522870965</c:v>
                </c:pt>
                <c:pt idx="1">
                  <c:v>1.4135777417746298</c:v>
                </c:pt>
                <c:pt idx="2">
                  <c:v>0.80277401508751045</c:v>
                </c:pt>
                <c:pt idx="3">
                  <c:v>0.53862756892814267</c:v>
                </c:pt>
                <c:pt idx="4">
                  <c:v>0.52624247978161132</c:v>
                </c:pt>
                <c:pt idx="5">
                  <c:v>0.43277225283665188</c:v>
                </c:pt>
                <c:pt idx="6">
                  <c:v>0.55535105033759047</c:v>
                </c:pt>
                <c:pt idx="7">
                  <c:v>0.50963262593208847</c:v>
                </c:pt>
                <c:pt idx="8">
                  <c:v>0.53722549647465567</c:v>
                </c:pt>
                <c:pt idx="9">
                  <c:v>0.5583356635130533</c:v>
                </c:pt>
                <c:pt idx="10">
                  <c:v>0.53721093035543166</c:v>
                </c:pt>
                <c:pt idx="11">
                  <c:v>1.7157707533007651</c:v>
                </c:pt>
                <c:pt idx="12">
                  <c:v>0.68081894565774403</c:v>
                </c:pt>
              </c:numCache>
            </c:numRef>
          </c:val>
        </c:ser>
        <c:ser>
          <c:idx val="1"/>
          <c:order val="3"/>
          <c:tx>
            <c:strRef>
              <c:f>'2012 Q2 Combined'!$Y$48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Q2 Combined'!$Y$49:$Y$61</c:f>
              <c:numCache>
                <c:formatCode>0.00%</c:formatCode>
                <c:ptCount val="13"/>
                <c:pt idx="0">
                  <c:v>0.46298145778232808</c:v>
                </c:pt>
                <c:pt idx="1">
                  <c:v>1.4815584178230596</c:v>
                </c:pt>
                <c:pt idx="2">
                  <c:v>0.79485402673568795</c:v>
                </c:pt>
                <c:pt idx="3">
                  <c:v>0.45959410525238276</c:v>
                </c:pt>
                <c:pt idx="4">
                  <c:v>0.47209942776737962</c:v>
                </c:pt>
                <c:pt idx="5">
                  <c:v>0.39098355697770276</c:v>
                </c:pt>
                <c:pt idx="6">
                  <c:v>0.49382559860884867</c:v>
                </c:pt>
                <c:pt idx="7">
                  <c:v>0.48097534647211193</c:v>
                </c:pt>
                <c:pt idx="8">
                  <c:v>0.50042734083667828</c:v>
                </c:pt>
                <c:pt idx="9">
                  <c:v>0.86857221194690837</c:v>
                </c:pt>
                <c:pt idx="10">
                  <c:v>0.49636965595469068</c:v>
                </c:pt>
                <c:pt idx="11">
                  <c:v>1.1817005831326839</c:v>
                </c:pt>
                <c:pt idx="12">
                  <c:v>0.66330450943556862</c:v>
                </c:pt>
              </c:numCache>
            </c:numRef>
          </c:val>
        </c:ser>
        <c:ser>
          <c:idx val="2"/>
          <c:order val="4"/>
          <c:tx>
            <c:strRef>
              <c:f>'2012 Q2 Combined'!$AE$48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Q2 Combined'!$AE$49:$AE$61</c:f>
              <c:numCache>
                <c:formatCode>0.00%</c:formatCode>
                <c:ptCount val="13"/>
                <c:pt idx="0">
                  <c:v>0.43221129046632656</c:v>
                </c:pt>
                <c:pt idx="1">
                  <c:v>1.0171499692701302</c:v>
                </c:pt>
                <c:pt idx="2">
                  <c:v>0.79630938908241167</c:v>
                </c:pt>
                <c:pt idx="3">
                  <c:v>0.56756284069918206</c:v>
                </c:pt>
                <c:pt idx="4">
                  <c:v>0.51394917013670982</c:v>
                </c:pt>
                <c:pt idx="5">
                  <c:v>0.30169012344859009</c:v>
                </c:pt>
                <c:pt idx="6">
                  <c:v>0.41206862703618996</c:v>
                </c:pt>
                <c:pt idx="7">
                  <c:v>0.46691191959455824</c:v>
                </c:pt>
                <c:pt idx="8">
                  <c:v>0.49846173625880785</c:v>
                </c:pt>
                <c:pt idx="9">
                  <c:v>0.81920497380754109</c:v>
                </c:pt>
                <c:pt idx="10">
                  <c:v>0.50732895730016148</c:v>
                </c:pt>
                <c:pt idx="11">
                  <c:v>1.508805031745805</c:v>
                </c:pt>
                <c:pt idx="12">
                  <c:v>0.634152381999599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94368"/>
        <c:axId val="36795904"/>
      </c:barChart>
      <c:catAx>
        <c:axId val="3679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6795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79590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6794368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519637747984203"/>
          <c:y val="0.95139107611548557"/>
          <c:w val="0.23001757663174982"/>
          <c:h val="4.168149120248854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2012 Combined Funds Revenue by Source (Excluding Bond Funds)</a:t>
            </a:r>
          </a:p>
        </c:rich>
      </c:tx>
      <c:layout>
        <c:manualLayout>
          <c:xMode val="edge"/>
          <c:yMode val="edge"/>
          <c:x val="0.19076005961251863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09E-2"/>
          <c:w val="0.87928464977645304"/>
          <c:h val="0.732395373563178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'2012 Q1 Combined'!$D$16</c:f>
              <c:strCache>
                <c:ptCount val="1"/>
                <c:pt idx="0">
                  <c:v>YTD Collections as of 1/15/12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Q1 Combined'!$A$17:$B$23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'2012 Q1 Combined'!$D$17:$D$23</c:f>
              <c:numCache>
                <c:formatCode>#,##0</c:formatCode>
                <c:ptCount val="7"/>
                <c:pt idx="0" formatCode="_(&quot;$&quot;* #,##0_);_(&quot;$&quot;* \(#,##0\);_(&quot;$&quot;* &quot;-&quot;??_);_(@_)">
                  <c:v>76278656</c:v>
                </c:pt>
                <c:pt idx="1">
                  <c:v>63801</c:v>
                </c:pt>
                <c:pt idx="2">
                  <c:v>3611905</c:v>
                </c:pt>
                <c:pt idx="3">
                  <c:v>7272358</c:v>
                </c:pt>
                <c:pt idx="4">
                  <c:v>543219</c:v>
                </c:pt>
                <c:pt idx="5">
                  <c:v>1182413</c:v>
                </c:pt>
                <c:pt idx="6">
                  <c:v>26848311</c:v>
                </c:pt>
              </c:numCache>
            </c:numRef>
          </c:val>
        </c:ser>
        <c:ser>
          <c:idx val="1"/>
          <c:order val="1"/>
          <c:tx>
            <c:strRef>
              <c:f>'2012 Q1 Combined'!$H$16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Q1 Combined'!$A$17:$B$23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'2012 Q1 Combined'!$H$17:$H$23</c:f>
              <c:numCache>
                <c:formatCode>"$"#,##0_);[Red]\("$"#,##0\)</c:formatCode>
                <c:ptCount val="7"/>
                <c:pt idx="0">
                  <c:v>96641865</c:v>
                </c:pt>
                <c:pt idx="1">
                  <c:v>216499</c:v>
                </c:pt>
                <c:pt idx="2" formatCode="#,##0_);[Red]\(#,##0\)">
                  <c:v>6285946</c:v>
                </c:pt>
                <c:pt idx="3" formatCode="#,##0_);[Red]\(#,##0\)">
                  <c:v>32486078</c:v>
                </c:pt>
                <c:pt idx="4" formatCode="#,##0_);[Red]\(#,##0\)">
                  <c:v>3079281</c:v>
                </c:pt>
                <c:pt idx="5" formatCode="#,##0_);[Red]\(#,##0\)">
                  <c:v>2780629</c:v>
                </c:pt>
                <c:pt idx="6" formatCode="#,##0_);[Red]\(#,##0\)">
                  <c:v>2040174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533376"/>
        <c:axId val="40535552"/>
      </c:barChart>
      <c:lineChart>
        <c:grouping val="stacked"/>
        <c:varyColors val="0"/>
        <c:ser>
          <c:idx val="2"/>
          <c:order val="2"/>
          <c:tx>
            <c:strRef>
              <c:f>'2012 Q1 Combined'!$I$16</c:f>
              <c:strCache>
                <c:ptCount val="1"/>
                <c:pt idx="0">
                  <c:v>25%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'2012 Q1 Combined'!$I$17:$I$23</c:f>
              <c:numCache>
                <c:formatCode>0%</c:formatCode>
                <c:ptCount val="7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33376"/>
        <c:axId val="40535552"/>
      </c:lineChart>
      <c:catAx>
        <c:axId val="4053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053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35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05333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9061102831594637"/>
          <c:y val="0.93239554914790579"/>
          <c:w val="0.7704918032786886"/>
          <c:h val="0.9915504787253706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2012 Combined Funds Expenditures by Function Area (Excluding Bond Funds)</a:t>
            </a:r>
          </a:p>
        </c:rich>
      </c:tx>
      <c:layout>
        <c:manualLayout>
          <c:xMode val="edge"/>
          <c:yMode val="edge"/>
          <c:x val="0.11209140586189766"/>
          <c:y val="3.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4128166915052"/>
          <c:y val="0.12259615384615384"/>
          <c:w val="0.87779433681073027"/>
          <c:h val="0.536057692307692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'2012 Q1 Combined'!$D$48</c:f>
              <c:strCache>
                <c:ptCount val="1"/>
                <c:pt idx="0">
                  <c:v>YTD Expenditures as of 1/15/12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Q1 Combined'!$A$49:$B$61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'2012 Q1 Combined'!$D$49:$D$61</c:f>
              <c:numCache>
                <c:formatCode>_(* #,##0_);_(* \(#,##0\);_(* "-"??_);_(@_)</c:formatCode>
                <c:ptCount val="13"/>
                <c:pt idx="0" formatCode="_(&quot;$&quot;* #,##0_);_(&quot;$&quot;* \(#,##0\);_(&quot;$&quot;* &quot;-&quot;_);_(@_)">
                  <c:v>70132</c:v>
                </c:pt>
                <c:pt idx="1">
                  <c:v>215672</c:v>
                </c:pt>
                <c:pt idx="2">
                  <c:v>1300</c:v>
                </c:pt>
                <c:pt idx="3">
                  <c:v>632824</c:v>
                </c:pt>
                <c:pt idx="4">
                  <c:v>3303438</c:v>
                </c:pt>
                <c:pt idx="5">
                  <c:v>8908030</c:v>
                </c:pt>
                <c:pt idx="6">
                  <c:v>3834958</c:v>
                </c:pt>
                <c:pt idx="7">
                  <c:v>5211665</c:v>
                </c:pt>
                <c:pt idx="8">
                  <c:v>3104775</c:v>
                </c:pt>
                <c:pt idx="9">
                  <c:v>3212480</c:v>
                </c:pt>
                <c:pt idx="10">
                  <c:v>20058192</c:v>
                </c:pt>
                <c:pt idx="11">
                  <c:v>6964318</c:v>
                </c:pt>
                <c:pt idx="12">
                  <c:v>13420952</c:v>
                </c:pt>
              </c:numCache>
            </c:numRef>
          </c:val>
        </c:ser>
        <c:ser>
          <c:idx val="1"/>
          <c:order val="1"/>
          <c:tx>
            <c:strRef>
              <c:f>'2012 Q1 Combined'!$H$48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Q1 Combined'!$A$49:$B$61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'2012 Q1 Combined'!$H$49:$H$61</c:f>
              <c:numCache>
                <c:formatCode>#,##0</c:formatCode>
                <c:ptCount val="13"/>
                <c:pt idx="0" formatCode="&quot;$&quot;#,##0_);[Red]\(&quot;$&quot;#,##0\)">
                  <c:v>234151</c:v>
                </c:pt>
                <c:pt idx="1">
                  <c:v>951007</c:v>
                </c:pt>
                <c:pt idx="2">
                  <c:v>43926402</c:v>
                </c:pt>
                <c:pt idx="3">
                  <c:v>2906757</c:v>
                </c:pt>
                <c:pt idx="4">
                  <c:v>6941742</c:v>
                </c:pt>
                <c:pt idx="5">
                  <c:v>26713618</c:v>
                </c:pt>
                <c:pt idx="6">
                  <c:v>13504963</c:v>
                </c:pt>
                <c:pt idx="7">
                  <c:v>11789133</c:v>
                </c:pt>
                <c:pt idx="8">
                  <c:v>7363265</c:v>
                </c:pt>
                <c:pt idx="9">
                  <c:v>10711767</c:v>
                </c:pt>
                <c:pt idx="10">
                  <c:v>43752352</c:v>
                </c:pt>
                <c:pt idx="11">
                  <c:v>12930375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545280"/>
        <c:axId val="55792768"/>
      </c:barChart>
      <c:lineChart>
        <c:grouping val="stacked"/>
        <c:varyColors val="0"/>
        <c:ser>
          <c:idx val="2"/>
          <c:order val="2"/>
          <c:tx>
            <c:strRef>
              <c:f>'2012 Q1 Combined'!$G$48</c:f>
              <c:strCache>
                <c:ptCount val="1"/>
                <c:pt idx="0">
                  <c:v>25%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'2012 Q1 Combined'!$I$49:$I$61</c:f>
              <c:numCache>
                <c:formatCode>0%</c:formatCode>
                <c:ptCount val="13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45280"/>
        <c:axId val="55792768"/>
      </c:lineChart>
      <c:catAx>
        <c:axId val="4054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579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79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05452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7570789865871831"/>
          <c:y val="0.92548076923076927"/>
          <c:w val="0.81073025335320414"/>
          <c:h val="0.978365384615384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41888"/>
        <c:axId val="60203392"/>
      </c:barChart>
      <c:catAx>
        <c:axId val="5714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203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203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1418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637952"/>
        <c:axId val="126639488"/>
      </c:barChart>
      <c:catAx>
        <c:axId val="12663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639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639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6379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48384"/>
        <c:axId val="90049920"/>
      </c:barChart>
      <c:catAx>
        <c:axId val="9004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04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04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048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96768"/>
        <c:axId val="90098304"/>
      </c:barChart>
      <c:catAx>
        <c:axId val="9009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09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0098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0967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49792"/>
        <c:axId val="92051328"/>
      </c:barChart>
      <c:catAx>
        <c:axId val="9204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051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051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0497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Combined Funds Revenue 
Collected 1st Quarter of Fiscal Year (Excluding Bond Funds) </a:t>
            </a:r>
          </a:p>
        </c:rich>
      </c:tx>
      <c:layout>
        <c:manualLayout>
          <c:xMode val="edge"/>
          <c:yMode val="edge"/>
          <c:x val="0.2223868983832642"/>
          <c:y val="3.3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'2012 Q1 Combined'!$M$16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'2012 Q1 Combined'!$M$17:$M$23</c:f>
              <c:numCache>
                <c:formatCode>0.00%</c:formatCode>
                <c:ptCount val="7"/>
                <c:pt idx="0">
                  <c:v>0.44111974425522349</c:v>
                </c:pt>
                <c:pt idx="1">
                  <c:v>0.22761683910096325</c:v>
                </c:pt>
                <c:pt idx="2">
                  <c:v>0.36491810191929541</c:v>
                </c:pt>
                <c:pt idx="3">
                  <c:v>0.18291358342164163</c:v>
                </c:pt>
                <c:pt idx="4">
                  <c:v>0.14995693581780539</c:v>
                </c:pt>
                <c:pt idx="5">
                  <c:v>0.29835994672779143</c:v>
                </c:pt>
                <c:pt idx="6">
                  <c:v>0.92937760495228461</c:v>
                </c:pt>
              </c:numCache>
            </c:numRef>
          </c:val>
        </c:ser>
        <c:ser>
          <c:idx val="3"/>
          <c:order val="1"/>
          <c:tx>
            <c:strRef>
              <c:f>'2012 Q1 Combined'!$Q$16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'2012 Q1 Combined'!$Q$17:$Q$23</c:f>
              <c:numCache>
                <c:formatCode>0.00%</c:formatCode>
                <c:ptCount val="7"/>
                <c:pt idx="0">
                  <c:v>0.56559366291866975</c:v>
                </c:pt>
                <c:pt idx="1">
                  <c:v>0.258410120355138</c:v>
                </c:pt>
                <c:pt idx="2">
                  <c:v>0.25510019540177137</c:v>
                </c:pt>
                <c:pt idx="3">
                  <c:v>0.17853476670796334</c:v>
                </c:pt>
                <c:pt idx="4">
                  <c:v>0.17622768574498032</c:v>
                </c:pt>
                <c:pt idx="5">
                  <c:v>0.31780805787962241</c:v>
                </c:pt>
                <c:pt idx="6">
                  <c:v>0.49541019096602829</c:v>
                </c:pt>
              </c:numCache>
            </c:numRef>
          </c:val>
        </c:ser>
        <c:ser>
          <c:idx val="0"/>
          <c:order val="2"/>
          <c:tx>
            <c:strRef>
              <c:f>'2012 Q1 Combined'!$U$16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Q1 Combined'!$J$17:$J$23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'2012 Q1 Combined'!$U$17:$U$23</c:f>
              <c:numCache>
                <c:formatCode>0.00%</c:formatCode>
                <c:ptCount val="7"/>
                <c:pt idx="0">
                  <c:v>0.54020057892857776</c:v>
                </c:pt>
                <c:pt idx="1">
                  <c:v>0.29718778112410527</c:v>
                </c:pt>
                <c:pt idx="2">
                  <c:v>0.13208272737654098</c:v>
                </c:pt>
                <c:pt idx="3">
                  <c:v>0.18954621076118197</c:v>
                </c:pt>
                <c:pt idx="4">
                  <c:v>0.2349028459391152</c:v>
                </c:pt>
                <c:pt idx="5">
                  <c:v>0.23275318653674335</c:v>
                </c:pt>
                <c:pt idx="6">
                  <c:v>5.5538330958393944E-2</c:v>
                </c:pt>
              </c:numCache>
            </c:numRef>
          </c:val>
        </c:ser>
        <c:ser>
          <c:idx val="1"/>
          <c:order val="3"/>
          <c:tx>
            <c:strRef>
              <c:f>'2012 Q1 Combined'!$Y$16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Q1 Combined'!$Y$17:$Y$23</c:f>
              <c:numCache>
                <c:formatCode>0.00%</c:formatCode>
                <c:ptCount val="7"/>
                <c:pt idx="0">
                  <c:v>0.44386405142506447</c:v>
                </c:pt>
                <c:pt idx="1">
                  <c:v>0.28703563438197394</c:v>
                </c:pt>
                <c:pt idx="2">
                  <c:v>0.28621136144858089</c:v>
                </c:pt>
                <c:pt idx="3">
                  <c:v>0.16606949906714563</c:v>
                </c:pt>
                <c:pt idx="4">
                  <c:v>0.22863882893575418</c:v>
                </c:pt>
                <c:pt idx="5">
                  <c:v>0.36810188487101658</c:v>
                </c:pt>
                <c:pt idx="6">
                  <c:v>4.9990032643257576E-2</c:v>
                </c:pt>
              </c:numCache>
            </c:numRef>
          </c:val>
        </c:ser>
        <c:ser>
          <c:idx val="2"/>
          <c:order val="4"/>
          <c:tx>
            <c:strRef>
              <c:f>'2012 Q1 Combined'!$AC$16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Q1 Combined'!$AC$17:$AC$23</c:f>
              <c:numCache>
                <c:formatCode>0.00%</c:formatCode>
                <c:ptCount val="7"/>
                <c:pt idx="0">
                  <c:v>0.44900097485743889</c:v>
                </c:pt>
                <c:pt idx="1">
                  <c:v>0.23054123455128567</c:v>
                </c:pt>
                <c:pt idx="2">
                  <c:v>0.29397036209206273</c:v>
                </c:pt>
                <c:pt idx="3">
                  <c:v>0.17089325620200174</c:v>
                </c:pt>
                <c:pt idx="4">
                  <c:v>0.15801756684256973</c:v>
                </c:pt>
                <c:pt idx="5">
                  <c:v>0.36089945871196166</c:v>
                </c:pt>
                <c:pt idx="6">
                  <c:v>6.3861795482481082E-2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320896"/>
        <c:axId val="92322432"/>
      </c:barChart>
      <c:catAx>
        <c:axId val="9232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2322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32243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2320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751510351146932"/>
          <c:y val="0.91525690644601632"/>
          <c:w val="0.23230582863532595"/>
          <c:h val="5.17006984296454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% of Combined Funds Expenditures 
Spent 1st Quarter of Fiscal Year (Excluding Bond Funds)</a:t>
            </a:r>
          </a:p>
        </c:rich>
      </c:tx>
      <c:layout>
        <c:manualLayout>
          <c:xMode val="edge"/>
          <c:yMode val="edge"/>
          <c:x val="0.21450151057401812"/>
          <c:y val="3.0092592592592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288E-2"/>
          <c:y val="0.20370416418946261"/>
          <c:w val="0.88821752265861031"/>
          <c:h val="0.51389005056887149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'2012 Q1 Combined'!$M$48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'2012 Q1 Combined'!$M$49:$M$61</c:f>
              <c:numCache>
                <c:formatCode>0.00%</c:formatCode>
                <c:ptCount val="13"/>
                <c:pt idx="0">
                  <c:v>0.23048280712363162</c:v>
                </c:pt>
                <c:pt idx="1">
                  <c:v>0.18485976005396515</c:v>
                </c:pt>
                <c:pt idx="2">
                  <c:v>2.9594081657173873E-5</c:v>
                </c:pt>
                <c:pt idx="3">
                  <c:v>0.17878500308369832</c:v>
                </c:pt>
                <c:pt idx="4">
                  <c:v>0.32243825877144178</c:v>
                </c:pt>
                <c:pt idx="5">
                  <c:v>0.25007349463449868</c:v>
                </c:pt>
                <c:pt idx="6">
                  <c:v>0.22116352202527337</c:v>
                </c:pt>
                <c:pt idx="7">
                  <c:v>0.30655413939980936</c:v>
                </c:pt>
                <c:pt idx="8">
                  <c:v>0.29659563776982129</c:v>
                </c:pt>
                <c:pt idx="9">
                  <c:v>0.23071121906987144</c:v>
                </c:pt>
                <c:pt idx="10">
                  <c:v>0.31433977431692167</c:v>
                </c:pt>
                <c:pt idx="11">
                  <c:v>0.35005908359581123</c:v>
                </c:pt>
                <c:pt idx="12">
                  <c:v>0.48583903209484902</c:v>
                </c:pt>
              </c:numCache>
            </c:numRef>
          </c:val>
        </c:ser>
        <c:ser>
          <c:idx val="3"/>
          <c:order val="1"/>
          <c:tx>
            <c:strRef>
              <c:f>'2012 Q1 Combined'!$Q$48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'2012 Q1 Combined'!$Q$49:$Q$61</c:f>
              <c:numCache>
                <c:formatCode>0.00%</c:formatCode>
                <c:ptCount val="13"/>
                <c:pt idx="0">
                  <c:v>0.15685947194168545</c:v>
                </c:pt>
                <c:pt idx="1">
                  <c:v>0.33897068413093973</c:v>
                </c:pt>
                <c:pt idx="2">
                  <c:v>4.9835425107731361E-2</c:v>
                </c:pt>
                <c:pt idx="3">
                  <c:v>0.14174435816729775</c:v>
                </c:pt>
                <c:pt idx="4">
                  <c:v>0.18283471661212616</c:v>
                </c:pt>
                <c:pt idx="5">
                  <c:v>0.27974367643128384</c:v>
                </c:pt>
                <c:pt idx="6">
                  <c:v>0.17481847728692146</c:v>
                </c:pt>
                <c:pt idx="7">
                  <c:v>0.19196383453308102</c:v>
                </c:pt>
                <c:pt idx="8">
                  <c:v>0.20146114429993106</c:v>
                </c:pt>
                <c:pt idx="9">
                  <c:v>0.79404980254605473</c:v>
                </c:pt>
                <c:pt idx="10">
                  <c:v>0.21854407009242383</c:v>
                </c:pt>
                <c:pt idx="11">
                  <c:v>0.56629984281009171</c:v>
                </c:pt>
                <c:pt idx="12">
                  <c:v>1.070829215079645</c:v>
                </c:pt>
              </c:numCache>
            </c:numRef>
          </c:val>
        </c:ser>
        <c:ser>
          <c:idx val="0"/>
          <c:order val="2"/>
          <c:tx>
            <c:strRef>
              <c:f>'2012 Q1 Combined'!$U$48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Q1 Combined'!$J$49:$J$61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 Admin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'2012 Q1 Combined'!$U$49:$U$61</c:f>
              <c:numCache>
                <c:formatCode>0.00%</c:formatCode>
                <c:ptCount val="13"/>
                <c:pt idx="0">
                  <c:v>0.17885935168859352</c:v>
                </c:pt>
                <c:pt idx="1">
                  <c:v>0.48672401424389994</c:v>
                </c:pt>
                <c:pt idx="2">
                  <c:v>6.7227773525337375E-3</c:v>
                </c:pt>
                <c:pt idx="3">
                  <c:v>0.16147719535222652</c:v>
                </c:pt>
                <c:pt idx="4">
                  <c:v>0.21334383571474172</c:v>
                </c:pt>
                <c:pt idx="5">
                  <c:v>0.23759677059214904</c:v>
                </c:pt>
                <c:pt idx="6">
                  <c:v>0.22396437304812192</c:v>
                </c:pt>
                <c:pt idx="7">
                  <c:v>0.20160658160761358</c:v>
                </c:pt>
                <c:pt idx="8">
                  <c:v>0.23231921225164437</c:v>
                </c:pt>
                <c:pt idx="9">
                  <c:v>0.16476968046433729</c:v>
                </c:pt>
                <c:pt idx="10">
                  <c:v>0.22924711197768083</c:v>
                </c:pt>
                <c:pt idx="11">
                  <c:v>0.30737404413176966</c:v>
                </c:pt>
                <c:pt idx="12">
                  <c:v>0.10016278452219123</c:v>
                </c:pt>
              </c:numCache>
            </c:numRef>
          </c:val>
        </c:ser>
        <c:ser>
          <c:idx val="1"/>
          <c:order val="3"/>
          <c:tx>
            <c:strRef>
              <c:f>'2012 Q1 Combined'!$Y$48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Q1 Combined'!$Y$49:$Y$61</c:f>
              <c:numCache>
                <c:formatCode>0.00%</c:formatCode>
                <c:ptCount val="13"/>
                <c:pt idx="0">
                  <c:v>0.18621895173904388</c:v>
                </c:pt>
                <c:pt idx="1">
                  <c:v>0.26377310166884432</c:v>
                </c:pt>
                <c:pt idx="2">
                  <c:v>2.3370193113514544E-5</c:v>
                </c:pt>
                <c:pt idx="3">
                  <c:v>0.12298868548639791</c:v>
                </c:pt>
                <c:pt idx="4">
                  <c:v>0.13145364818582114</c:v>
                </c:pt>
                <c:pt idx="5">
                  <c:v>0.15158724931404988</c:v>
                </c:pt>
                <c:pt idx="6">
                  <c:v>0.20937555608539146</c:v>
                </c:pt>
                <c:pt idx="7">
                  <c:v>0.16918347907346296</c:v>
                </c:pt>
                <c:pt idx="8">
                  <c:v>0.17531725519226149</c:v>
                </c:pt>
                <c:pt idx="9">
                  <c:v>0.35015069595134835</c:v>
                </c:pt>
                <c:pt idx="10">
                  <c:v>0.18191083981221687</c:v>
                </c:pt>
                <c:pt idx="11">
                  <c:v>0.581918398179056</c:v>
                </c:pt>
                <c:pt idx="12">
                  <c:v>0.20271788120429882</c:v>
                </c:pt>
              </c:numCache>
            </c:numRef>
          </c:val>
        </c:ser>
        <c:ser>
          <c:idx val="2"/>
          <c:order val="4"/>
          <c:tx>
            <c:strRef>
              <c:f>'2012 Q1 Combined'!$AE$48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Q1 Combined'!$AE$49:$AE$61</c:f>
              <c:numCache>
                <c:formatCode>0.00%</c:formatCode>
                <c:ptCount val="13"/>
                <c:pt idx="0">
                  <c:v>0.14140862111338268</c:v>
                </c:pt>
                <c:pt idx="1">
                  <c:v>0.35544762621136977</c:v>
                </c:pt>
                <c:pt idx="2">
                  <c:v>7.5588280913868364E-6</c:v>
                </c:pt>
                <c:pt idx="3">
                  <c:v>0.1889051024999846</c:v>
                </c:pt>
                <c:pt idx="4">
                  <c:v>0.17552326912867858</c:v>
                </c:pt>
                <c:pt idx="5">
                  <c:v>0.12919264462667196</c:v>
                </c:pt>
                <c:pt idx="6">
                  <c:v>0.14077625912247022</c:v>
                </c:pt>
                <c:pt idx="7">
                  <c:v>0.16125458277914551</c:v>
                </c:pt>
                <c:pt idx="8">
                  <c:v>0.16942803488678784</c:v>
                </c:pt>
                <c:pt idx="9">
                  <c:v>0.26497396978451038</c:v>
                </c:pt>
                <c:pt idx="10">
                  <c:v>0.19580750640630626</c:v>
                </c:pt>
                <c:pt idx="11">
                  <c:v>0.4131419420886443</c:v>
                </c:pt>
                <c:pt idx="12">
                  <c:v>0.16825053666334086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93088"/>
        <c:axId val="92815360"/>
      </c:barChart>
      <c:catAx>
        <c:axId val="9279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281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81536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2793088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519637462235651"/>
          <c:y val="0.95139107611548557"/>
          <c:w val="0.61521389886687128"/>
          <c:h val="0.9930725673179741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2011 Combined Funds Revenue by Source (Excluding Bond Funds)</a:t>
            </a:r>
          </a:p>
        </c:rich>
      </c:tx>
      <c:layout>
        <c:manualLayout>
          <c:xMode val="edge"/>
          <c:yMode val="edge"/>
          <c:x val="0.20508183143773695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23E-2"/>
          <c:w val="0.87928464977645282"/>
          <c:h val="0.7323953735631794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'2011 Q4 Combined '!$D$16</c:f>
              <c:strCache>
                <c:ptCount val="1"/>
                <c:pt idx="0">
                  <c:v>YTD Collections as of 10/15/11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'2011 Q4 Combined '!$D$17:$D$23</c:f>
              <c:numCache>
                <c:formatCode>#,##0</c:formatCode>
                <c:ptCount val="7"/>
                <c:pt idx="0" formatCode="&quot;$&quot;#,##0_);[Red]\(&quot;$&quot;#,##0\)">
                  <c:v>170756658</c:v>
                </c:pt>
                <c:pt idx="1">
                  <c:v>315483</c:v>
                </c:pt>
                <c:pt idx="2">
                  <c:v>19224767</c:v>
                </c:pt>
                <c:pt idx="3">
                  <c:v>38583245</c:v>
                </c:pt>
                <c:pt idx="4">
                  <c:v>3808740</c:v>
                </c:pt>
                <c:pt idx="5">
                  <c:v>3762327</c:v>
                </c:pt>
                <c:pt idx="6">
                  <c:v>61632562</c:v>
                </c:pt>
              </c:numCache>
            </c:numRef>
          </c:val>
        </c:ser>
        <c:ser>
          <c:idx val="1"/>
          <c:order val="1"/>
          <c:tx>
            <c:strRef>
              <c:f>'2011 Q4 Combined 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'2011 Q4 Combined '!$H$17:$H$23</c:f>
              <c:numCache>
                <c:formatCode>"$"#,##0_);[Red]\("$"#,##0\)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341851</c:v>
                </c:pt>
                <c:pt idx="4">
                  <c:v>5260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836672"/>
        <c:axId val="101838848"/>
      </c:barChart>
      <c:lineChart>
        <c:grouping val="stacked"/>
        <c:varyColors val="0"/>
        <c:ser>
          <c:idx val="2"/>
          <c:order val="2"/>
          <c:tx>
            <c:strRef>
              <c:f>'2011 Q4 Combined '!$I$16</c:f>
              <c:strCache>
                <c:ptCount val="1"/>
                <c:pt idx="0">
                  <c:v>100%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'2011 Q4 Combined '!$I$17:$I$23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36672"/>
        <c:axId val="101838848"/>
      </c:lineChart>
      <c:catAx>
        <c:axId val="10183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1838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838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18366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9061098473801888"/>
          <c:y val="0.93239554914790579"/>
          <c:w val="0.77049168853893268"/>
          <c:h val="0.9915504787253706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2011 Combined Funds Expenditures by Function Area (Excluding Bond Funds)</a:t>
            </a:r>
          </a:p>
        </c:rich>
      </c:tx>
      <c:layout>
        <c:manualLayout>
          <c:xMode val="edge"/>
          <c:yMode val="edge"/>
          <c:x val="0.13710617283950616"/>
          <c:y val="3.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4128166915052"/>
          <c:y val="0.12259615384615392"/>
          <c:w val="0.87779433681073071"/>
          <c:h val="0.5360576923076925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'2011 Q4 Combined '!$D$48</c:f>
              <c:strCache>
                <c:ptCount val="1"/>
                <c:pt idx="0">
                  <c:v>YTD Expenditures as of 10/15/11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Combined'!$A$49:$B$61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'2011 Q4 Combined '!$D$49:$D$61</c:f>
              <c:numCache>
                <c:formatCode>#,##0_);\(#,##0\)</c:formatCode>
                <c:ptCount val="13"/>
                <c:pt idx="0" formatCode="&quot;$&quot;#,##0_);\(&quot;$&quot;#,##0\)">
                  <c:v>286971</c:v>
                </c:pt>
                <c:pt idx="1">
                  <c:v>1040599</c:v>
                </c:pt>
                <c:pt idx="2">
                  <c:v>45582071</c:v>
                </c:pt>
                <c:pt idx="3">
                  <c:v>2590338</c:v>
                </c:pt>
                <c:pt idx="4">
                  <c:v>9806126</c:v>
                </c:pt>
                <c:pt idx="5">
                  <c:v>65556394</c:v>
                </c:pt>
                <c:pt idx="6">
                  <c:v>17647243</c:v>
                </c:pt>
                <c:pt idx="7">
                  <c:v>15673919</c:v>
                </c:pt>
                <c:pt idx="8">
                  <c:v>10282513</c:v>
                </c:pt>
                <c:pt idx="9">
                  <c:v>20809245</c:v>
                </c:pt>
                <c:pt idx="10">
                  <c:v>63192389</c:v>
                </c:pt>
                <c:pt idx="11">
                  <c:v>23410627</c:v>
                </c:pt>
                <c:pt idx="12">
                  <c:v>55646322</c:v>
                </c:pt>
              </c:numCache>
            </c:numRef>
          </c:val>
        </c:ser>
        <c:ser>
          <c:idx val="1"/>
          <c:order val="1"/>
          <c:tx>
            <c:strRef>
              <c:f>'2011 Q4 Combined '!$H$48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Combined'!$A$49:$B$61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'2011 Q4 Combined '!$H$49:$H$61</c:f>
              <c:numCache>
                <c:formatCode>"$"#,##0_);[Red]\("$"#,##0\)</c:formatCode>
                <c:ptCount val="13"/>
                <c:pt idx="0">
                  <c:v>72459</c:v>
                </c:pt>
                <c:pt idx="1">
                  <c:v>94213</c:v>
                </c:pt>
                <c:pt idx="2">
                  <c:v>0</c:v>
                </c:pt>
                <c:pt idx="3">
                  <c:v>301763</c:v>
                </c:pt>
                <c:pt idx="4">
                  <c:v>780195</c:v>
                </c:pt>
                <c:pt idx="5">
                  <c:v>0</c:v>
                </c:pt>
                <c:pt idx="6">
                  <c:v>1845359</c:v>
                </c:pt>
                <c:pt idx="7">
                  <c:v>1443847</c:v>
                </c:pt>
                <c:pt idx="8">
                  <c:v>613057</c:v>
                </c:pt>
                <c:pt idx="9">
                  <c:v>0</c:v>
                </c:pt>
                <c:pt idx="10">
                  <c:v>2157213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918208"/>
        <c:axId val="101920128"/>
      </c:barChart>
      <c:lineChart>
        <c:grouping val="stacked"/>
        <c:varyColors val="0"/>
        <c:ser>
          <c:idx val="2"/>
          <c:order val="2"/>
          <c:tx>
            <c:strRef>
              <c:f>'2011 Q4 Combined '!$G$48</c:f>
              <c:strCache>
                <c:ptCount val="1"/>
                <c:pt idx="0">
                  <c:v>100%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'2011 Q4 Combined '!$I$49:$I$61</c:f>
              <c:numCache>
                <c:formatCode>0%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18208"/>
        <c:axId val="101920128"/>
      </c:lineChart>
      <c:catAx>
        <c:axId val="10191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1920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920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1918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7570782541071254"/>
          <c:y val="0.93830128205128205"/>
          <c:w val="0.81073012540099143"/>
          <c:h val="0.991185897435897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950592"/>
        <c:axId val="101952128"/>
      </c:barChart>
      <c:catAx>
        <c:axId val="10195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952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952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9505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970304"/>
        <c:axId val="101971840"/>
      </c:barChart>
      <c:catAx>
        <c:axId val="10197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971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971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9703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628160"/>
        <c:axId val="103658624"/>
      </c:barChart>
      <c:catAx>
        <c:axId val="10362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658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3658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6281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% of Combined Funds Revenue 
Collected  thru 4th Quarter of Fiscal Year (Excluding Bond Funds) </a:t>
            </a:r>
          </a:p>
        </c:rich>
      </c:tx>
      <c:layout>
        <c:manualLayout>
          <c:xMode val="edge"/>
          <c:yMode val="edge"/>
          <c:x val="0.15896441938840486"/>
          <c:y val="1.83944332539827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'2013 Q4 Combined'!$M$16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D5635"/>
            </a:solidFill>
          </c:spPr>
          <c:invertIfNegative val="0"/>
          <c:val>
            <c:numRef>
              <c:f>'2013 Q4 Combined'!$M$17:$M$23</c:f>
              <c:numCache>
                <c:formatCode>0.00%</c:formatCode>
                <c:ptCount val="7"/>
                <c:pt idx="0">
                  <c:v>1.0106756560332466</c:v>
                </c:pt>
                <c:pt idx="1">
                  <c:v>1.3707921146953406</c:v>
                </c:pt>
                <c:pt idx="2">
                  <c:v>1.6959643209263795</c:v>
                </c:pt>
                <c:pt idx="3">
                  <c:v>0.99567689569957918</c:v>
                </c:pt>
                <c:pt idx="4">
                  <c:v>1.111424940596021</c:v>
                </c:pt>
                <c:pt idx="5">
                  <c:v>0.77253283948605511</c:v>
                </c:pt>
                <c:pt idx="6">
                  <c:v>4.1664680113331833</c:v>
                </c:pt>
              </c:numCache>
            </c:numRef>
          </c:val>
        </c:ser>
        <c:ser>
          <c:idx val="4"/>
          <c:order val="1"/>
          <c:tx>
            <c:strRef>
              <c:f>'2013 Q4 Combined'!$P$16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'2013 Q4 Combined'!$P$17:$P$23</c:f>
              <c:numCache>
                <c:formatCode>0.00%</c:formatCode>
                <c:ptCount val="7"/>
                <c:pt idx="0">
                  <c:v>1.0074649728819636</c:v>
                </c:pt>
                <c:pt idx="1">
                  <c:v>0.82795576168391005</c:v>
                </c:pt>
                <c:pt idx="2">
                  <c:v>1.3753679460319215</c:v>
                </c:pt>
                <c:pt idx="3">
                  <c:v>0.80552856757242663</c:v>
                </c:pt>
                <c:pt idx="4">
                  <c:v>0.81297170462387858</c:v>
                </c:pt>
                <c:pt idx="5">
                  <c:v>0.53453660092423949</c:v>
                </c:pt>
                <c:pt idx="6">
                  <c:v>1.1448709061759383</c:v>
                </c:pt>
              </c:numCache>
            </c:numRef>
          </c:val>
        </c:ser>
        <c:ser>
          <c:idx val="3"/>
          <c:order val="2"/>
          <c:tx>
            <c:strRef>
              <c:f>'2013 Q4 Combined'!$T$16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'2013 Q4 Combined'!$T$17:$T$23</c:f>
              <c:numCache>
                <c:formatCode>0.00%</c:formatCode>
                <c:ptCount val="7"/>
                <c:pt idx="0">
                  <c:v>0.99192059995722792</c:v>
                </c:pt>
                <c:pt idx="1">
                  <c:v>0.82592722904245242</c:v>
                </c:pt>
                <c:pt idx="2">
                  <c:v>0.7261304990803934</c:v>
                </c:pt>
                <c:pt idx="3">
                  <c:v>0.75423697281296098</c:v>
                </c:pt>
                <c:pt idx="4">
                  <c:v>0.70160805615275945</c:v>
                </c:pt>
                <c:pt idx="5">
                  <c:v>0.66109124245502449</c:v>
                </c:pt>
                <c:pt idx="6">
                  <c:v>0.91803498131989469</c:v>
                </c:pt>
              </c:numCache>
            </c:numRef>
          </c:val>
        </c:ser>
        <c:ser>
          <c:idx val="0"/>
          <c:order val="3"/>
          <c:tx>
            <c:strRef>
              <c:f>'2013 Q4 Combined'!$X$16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</c:spPr>
          <c:invertIfNegative val="0"/>
          <c:cat>
            <c:strRef>
              <c:f>'2013 Q4 Combined'!$J$17:$J$23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Misc., Transfers, Ins.</c:v>
                </c:pt>
              </c:strCache>
            </c:strRef>
          </c:cat>
          <c:val>
            <c:numRef>
              <c:f>'2013 Q4 Combined'!$X$17:$X$23</c:f>
              <c:numCache>
                <c:formatCode>0.00%</c:formatCode>
                <c:ptCount val="7"/>
                <c:pt idx="0">
                  <c:v>0.99143609091920493</c:v>
                </c:pt>
                <c:pt idx="1">
                  <c:v>0.83243321469081244</c:v>
                </c:pt>
                <c:pt idx="2">
                  <c:v>0.53449476746066449</c:v>
                </c:pt>
                <c:pt idx="3">
                  <c:v>0.75913308111364508</c:v>
                </c:pt>
                <c:pt idx="4">
                  <c:v>0.74601284122335298</c:v>
                </c:pt>
                <c:pt idx="5">
                  <c:v>0.93620944488505375</c:v>
                </c:pt>
                <c:pt idx="6">
                  <c:v>0.84142731728142306</c:v>
                </c:pt>
              </c:numCache>
            </c:numRef>
          </c:val>
        </c:ser>
        <c:ser>
          <c:idx val="1"/>
          <c:order val="4"/>
          <c:tx>
            <c:strRef>
              <c:f>'2013 Q4 Combined'!$AB$16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</c:spPr>
          <c:invertIfNegative val="0"/>
          <c:val>
            <c:numRef>
              <c:f>'2013 Q4 Combined'!$AB$17:$AB$23</c:f>
              <c:numCache>
                <c:formatCode>0.00%</c:formatCode>
                <c:ptCount val="7"/>
                <c:pt idx="0">
                  <c:v>0.98807071423905934</c:v>
                </c:pt>
                <c:pt idx="1">
                  <c:v>0.79942505593614599</c:v>
                </c:pt>
                <c:pt idx="2">
                  <c:v>0.65193959182069483</c:v>
                </c:pt>
                <c:pt idx="3">
                  <c:v>0.70603104953920837</c:v>
                </c:pt>
                <c:pt idx="4">
                  <c:v>0.74249294946675537</c:v>
                </c:pt>
                <c:pt idx="5">
                  <c:v>0.98605817328150058</c:v>
                </c:pt>
                <c:pt idx="6">
                  <c:v>0.34505316458092422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921344"/>
        <c:axId val="126927232"/>
      </c:barChart>
      <c:catAx>
        <c:axId val="12692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126927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927232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6921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019382192610541"/>
          <c:y val="0.89957053042788249"/>
          <c:w val="0.45054916807965378"/>
          <c:h val="5.6730708661417321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77248"/>
        <c:axId val="103883136"/>
      </c:barChart>
      <c:catAx>
        <c:axId val="10387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883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883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8772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% of Combined Funds Revenue 
Collected thru 4th Quarter of Fiscal Year</a:t>
            </a:r>
          </a:p>
        </c:rich>
      </c:tx>
      <c:layout>
        <c:manualLayout>
          <c:xMode val="edge"/>
          <c:yMode val="edge"/>
          <c:x val="0.33284051258298597"/>
          <c:y val="3.3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086E-2"/>
          <c:y val="0.24011365674009302"/>
          <c:w val="0.88609531459131363"/>
          <c:h val="0.5480241106773886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'2011 Q4 Combined '!$M$16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'2011 Q4 Combined '!$M$17:$M$23</c:f>
              <c:numCache>
                <c:formatCode>0.00%</c:formatCode>
                <c:ptCount val="7"/>
                <c:pt idx="0">
                  <c:v>1.0000903648175099</c:v>
                </c:pt>
                <c:pt idx="1">
                  <c:v>1.2824512195121951</c:v>
                </c:pt>
                <c:pt idx="2">
                  <c:v>1.864618338794541</c:v>
                </c:pt>
                <c:pt idx="3">
                  <c:v>0.99121772236605399</c:v>
                </c:pt>
                <c:pt idx="4">
                  <c:v>0.99862087047718928</c:v>
                </c:pt>
                <c:pt idx="5">
                  <c:v>1.2443010047138439</c:v>
                </c:pt>
                <c:pt idx="6">
                  <c:v>2.0676840291451146</c:v>
                </c:pt>
              </c:numCache>
            </c:numRef>
          </c:val>
        </c:ser>
        <c:ser>
          <c:idx val="0"/>
          <c:order val="1"/>
          <c:tx>
            <c:strRef>
              <c:f>'2011 Q4 Combined '!$P$16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Combined'!$J$17:$J$23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'2011 Q4 Combined '!$P$17:$P$23</c:f>
              <c:numCache>
                <c:formatCode>0.00%</c:formatCode>
                <c:ptCount val="7"/>
                <c:pt idx="0">
                  <c:v>0.99554466960948773</c:v>
                </c:pt>
                <c:pt idx="1">
                  <c:v>0.75821219934852646</c:v>
                </c:pt>
                <c:pt idx="2">
                  <c:v>3.0068764780196284</c:v>
                </c:pt>
                <c:pt idx="3">
                  <c:v>0.91363277239705176</c:v>
                </c:pt>
                <c:pt idx="4">
                  <c:v>0.82857000135976722</c:v>
                </c:pt>
                <c:pt idx="5">
                  <c:v>0.86295299486972332</c:v>
                </c:pt>
                <c:pt idx="6">
                  <c:v>1.1667095405097265</c:v>
                </c:pt>
              </c:numCache>
            </c:numRef>
          </c:val>
        </c:ser>
        <c:ser>
          <c:idx val="1"/>
          <c:order val="2"/>
          <c:tx>
            <c:strRef>
              <c:f>'2011 Q4 Combined '!$T$16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Q4 Combined '!$T$17:$T$23</c:f>
              <c:numCache>
                <c:formatCode>0.00%</c:formatCode>
                <c:ptCount val="7"/>
                <c:pt idx="0">
                  <c:v>0.99833297331119819</c:v>
                </c:pt>
                <c:pt idx="1">
                  <c:v>1.0000881967552482</c:v>
                </c:pt>
                <c:pt idx="2">
                  <c:v>0.98513686774403586</c:v>
                </c:pt>
                <c:pt idx="3">
                  <c:v>0.98179461380839894</c:v>
                </c:pt>
                <c:pt idx="4">
                  <c:v>0.98617186996776307</c:v>
                </c:pt>
                <c:pt idx="5">
                  <c:v>0.93782296769126183</c:v>
                </c:pt>
                <c:pt idx="6">
                  <c:v>0.96923422199602183</c:v>
                </c:pt>
              </c:numCache>
            </c:numRef>
          </c:val>
        </c:ser>
        <c:ser>
          <c:idx val="2"/>
          <c:order val="3"/>
          <c:tx>
            <c:strRef>
              <c:f>'2011 Q4 Combined '!$X$16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Q4 Combined '!$X$17:$X$23</c:f>
              <c:numCache>
                <c:formatCode>0.00%</c:formatCode>
                <c:ptCount val="7"/>
                <c:pt idx="0">
                  <c:v>1</c:v>
                </c:pt>
                <c:pt idx="1">
                  <c:v>1.0000000000000002</c:v>
                </c:pt>
                <c:pt idx="2">
                  <c:v>1</c:v>
                </c:pt>
                <c:pt idx="3">
                  <c:v>1.0000000000000002</c:v>
                </c:pt>
                <c:pt idx="4">
                  <c:v>0.99999999999999978</c:v>
                </c:pt>
                <c:pt idx="5">
                  <c:v>1</c:v>
                </c:pt>
                <c:pt idx="6">
                  <c:v>0.99999999999999989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979648"/>
        <c:axId val="103989632"/>
      </c:barChart>
      <c:catAx>
        <c:axId val="10397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3989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98963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39796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751505326540062"/>
          <c:y val="0.91525690644601632"/>
          <c:w val="0.64878354176316189"/>
          <c:h val="0.9700538280172605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% of Combined Funds Expenditures 
Spent thru 4th Quarter of Fiscal Year (Excluding Bond Funds)</a:t>
            </a:r>
          </a:p>
        </c:rich>
      </c:tx>
      <c:layout>
        <c:manualLayout>
          <c:xMode val="edge"/>
          <c:yMode val="edge"/>
          <c:x val="0.17708038747408827"/>
          <c:y val="3.00925418030611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357E-2"/>
          <c:y val="0.20370416418946272"/>
          <c:w val="0.88821752265861031"/>
          <c:h val="0.5138900505688720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'2011 Q4 Combined '!$M$48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'2011 Q4 Combined '!$M$49:$M$61</c:f>
              <c:numCache>
                <c:formatCode>0.00%</c:formatCode>
                <c:ptCount val="13"/>
                <c:pt idx="0">
                  <c:v>0.79840580919789672</c:v>
                </c:pt>
                <c:pt idx="1">
                  <c:v>0.91697920007895584</c:v>
                </c:pt>
                <c:pt idx="2">
                  <c:v>1.0481576672078146</c:v>
                </c:pt>
                <c:pt idx="3">
                  <c:v>0.895659591418142</c:v>
                </c:pt>
                <c:pt idx="4">
                  <c:v>0.92630159240400889</c:v>
                </c:pt>
                <c:pt idx="5">
                  <c:v>1.5919722206451106</c:v>
                </c:pt>
                <c:pt idx="6">
                  <c:v>0.90533028889626943</c:v>
                </c:pt>
                <c:pt idx="7">
                  <c:v>0.91565213591539929</c:v>
                </c:pt>
                <c:pt idx="8">
                  <c:v>0.94373337053499728</c:v>
                </c:pt>
                <c:pt idx="9">
                  <c:v>1.7951667974054455</c:v>
                </c:pt>
                <c:pt idx="10">
                  <c:v>0.96698965358656663</c:v>
                </c:pt>
                <c:pt idx="11">
                  <c:v>1.1890252707067828</c:v>
                </c:pt>
                <c:pt idx="12">
                  <c:v>1.9767732090556478</c:v>
                </c:pt>
              </c:numCache>
            </c:numRef>
          </c:val>
        </c:ser>
        <c:ser>
          <c:idx val="0"/>
          <c:order val="1"/>
          <c:tx>
            <c:strRef>
              <c:f>'2011 Q4 Combined '!$Q$48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Combined'!$J$49:$J$61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'2011 Q4 Combined '!$Q$49:$Q$61</c:f>
              <c:numCache>
                <c:formatCode>0.00%</c:formatCode>
                <c:ptCount val="13"/>
                <c:pt idx="0">
                  <c:v>0.80022630010013529</c:v>
                </c:pt>
                <c:pt idx="1">
                  <c:v>2.8894185192943298</c:v>
                </c:pt>
                <c:pt idx="2">
                  <c:v>1.0039065072598101</c:v>
                </c:pt>
                <c:pt idx="3">
                  <c:v>0.86352081894361765</c:v>
                </c:pt>
                <c:pt idx="4">
                  <c:v>0.93240581356412167</c:v>
                </c:pt>
                <c:pt idx="5">
                  <c:v>0.90317319760170711</c:v>
                </c:pt>
                <c:pt idx="6">
                  <c:v>1.056525954186236</c:v>
                </c:pt>
                <c:pt idx="7">
                  <c:v>0.90521858848924441</c:v>
                </c:pt>
                <c:pt idx="8">
                  <c:v>0.97977928283369808</c:v>
                </c:pt>
                <c:pt idx="9">
                  <c:v>1.5202083929855614</c:v>
                </c:pt>
                <c:pt idx="10">
                  <c:v>0.97956825569308981</c:v>
                </c:pt>
                <c:pt idx="11">
                  <c:v>2.9013115694711811</c:v>
                </c:pt>
                <c:pt idx="12">
                  <c:v>1.241760993918378</c:v>
                </c:pt>
              </c:numCache>
            </c:numRef>
          </c:val>
        </c:ser>
        <c:ser>
          <c:idx val="1"/>
          <c:order val="2"/>
          <c:tx>
            <c:strRef>
              <c:f>'2011 Q4 Combined '!$U$48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Q4 Combined '!$U$49:$U$61</c:f>
              <c:numCache>
                <c:formatCode>0.00%</c:formatCode>
                <c:ptCount val="13"/>
                <c:pt idx="0">
                  <c:v>0.91339774763245474</c:v>
                </c:pt>
                <c:pt idx="1">
                  <c:v>3.293316700021502</c:v>
                </c:pt>
                <c:pt idx="2">
                  <c:v>1.1196506639892527</c:v>
                </c:pt>
                <c:pt idx="3">
                  <c:v>1.0178600205740072</c:v>
                </c:pt>
                <c:pt idx="4">
                  <c:v>0.93312835994916321</c:v>
                </c:pt>
                <c:pt idx="5">
                  <c:v>0.75119452820314203</c:v>
                </c:pt>
                <c:pt idx="6">
                  <c:v>0.9771064760769782</c:v>
                </c:pt>
                <c:pt idx="7">
                  <c:v>0.8992203994047</c:v>
                </c:pt>
                <c:pt idx="8">
                  <c:v>0.97645243344170496</c:v>
                </c:pt>
                <c:pt idx="9">
                  <c:v>1.4466227190267889</c:v>
                </c:pt>
                <c:pt idx="10">
                  <c:v>0.95265627591359714</c:v>
                </c:pt>
                <c:pt idx="11">
                  <c:v>2.8317123542382272</c:v>
                </c:pt>
                <c:pt idx="12">
                  <c:v>2.9363479126607714</c:v>
                </c:pt>
              </c:numCache>
            </c:numRef>
          </c:val>
        </c:ser>
        <c:ser>
          <c:idx val="2"/>
          <c:order val="3"/>
          <c:tx>
            <c:strRef>
              <c:f>'2011 Q4 Combined '!$AA$48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Q4 Combined '!$AA$49:$AA$61</c:f>
              <c:numCache>
                <c:formatCode>0.00%</c:formatCode>
                <c:ptCount val="13"/>
                <c:pt idx="0">
                  <c:v>1.463311682875253</c:v>
                </c:pt>
                <c:pt idx="1">
                  <c:v>1.7201254879461356</c:v>
                </c:pt>
                <c:pt idx="2">
                  <c:v>1.266194014153956</c:v>
                </c:pt>
                <c:pt idx="3">
                  <c:v>1.1922688567301507</c:v>
                </c:pt>
                <c:pt idx="4">
                  <c:v>0.9792846141267435</c:v>
                </c:pt>
                <c:pt idx="5">
                  <c:v>0.72324659563247307</c:v>
                </c:pt>
                <c:pt idx="6">
                  <c:v>1.0353833641666419</c:v>
                </c:pt>
                <c:pt idx="7">
                  <c:v>0.94441951878539865</c:v>
                </c:pt>
                <c:pt idx="8">
                  <c:v>0.99117315961722907</c:v>
                </c:pt>
                <c:pt idx="9">
                  <c:v>2.3804528290099753</c:v>
                </c:pt>
                <c:pt idx="10">
                  <c:v>1.0019460967434766</c:v>
                </c:pt>
                <c:pt idx="11">
                  <c:v>3.703159182415618</c:v>
                </c:pt>
                <c:pt idx="12">
                  <c:v>1.6007110297278357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16512"/>
        <c:axId val="104038784"/>
      </c:barChart>
      <c:catAx>
        <c:axId val="10401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4038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03878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4016512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519637747984203"/>
          <c:y val="0.96963921082898341"/>
          <c:w val="0.60536268552016581"/>
          <c:h val="0.9953515585832669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2011 Combined Funds Revenue by Source (Excluding Bond Funds)</a:t>
            </a:r>
          </a:p>
        </c:rich>
      </c:tx>
      <c:layout>
        <c:manualLayout>
          <c:xMode val="edge"/>
          <c:yMode val="edge"/>
          <c:x val="0.20508183143773695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23E-2"/>
          <c:w val="0.87928464977645282"/>
          <c:h val="0.7323953735631794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'2011 Q3 Combined'!$D$16</c:f>
              <c:strCache>
                <c:ptCount val="1"/>
                <c:pt idx="0">
                  <c:v>YTD Collections as of 7/15/11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'2011 Q3 Combined'!$D$17:$D$23</c:f>
              <c:numCache>
                <c:formatCode>#,##0</c:formatCode>
                <c:ptCount val="7"/>
                <c:pt idx="0" formatCode="&quot;$&quot;#,##0_);[Red]\(&quot;$&quot;#,##0\)">
                  <c:v>170012101</c:v>
                </c:pt>
                <c:pt idx="1">
                  <c:v>260566</c:v>
                </c:pt>
                <c:pt idx="2">
                  <c:v>15205124</c:v>
                </c:pt>
                <c:pt idx="3">
                  <c:v>29392645</c:v>
                </c:pt>
                <c:pt idx="4">
                  <c:v>2674351</c:v>
                </c:pt>
                <c:pt idx="5">
                  <c:v>2829690</c:v>
                </c:pt>
                <c:pt idx="6">
                  <c:v>57484982</c:v>
                </c:pt>
              </c:numCache>
            </c:numRef>
          </c:val>
        </c:ser>
        <c:ser>
          <c:idx val="1"/>
          <c:order val="1"/>
          <c:tx>
            <c:strRef>
              <c:f>'2011 Q3 Combined'!$H$16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'2011 Q3 Combined'!$H$17:$H$23</c:f>
              <c:numCache>
                <c:formatCode>"$"#,##0_);[Red]\("$"#,##0\)</c:formatCode>
                <c:ptCount val="7"/>
                <c:pt idx="0">
                  <c:v>729128</c:v>
                </c:pt>
                <c:pt idx="1">
                  <c:v>0</c:v>
                </c:pt>
                <c:pt idx="2">
                  <c:v>0</c:v>
                </c:pt>
                <c:pt idx="3">
                  <c:v>9532451</c:v>
                </c:pt>
                <c:pt idx="4">
                  <c:v>1139649</c:v>
                </c:pt>
                <c:pt idx="5">
                  <c:v>193957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114816"/>
        <c:axId val="104116992"/>
      </c:barChart>
      <c:lineChart>
        <c:grouping val="stacked"/>
        <c:varyColors val="0"/>
        <c:ser>
          <c:idx val="2"/>
          <c:order val="2"/>
          <c:tx>
            <c:strRef>
              <c:f>'2011 Q3 Combined'!$I$16</c:f>
              <c:strCache>
                <c:ptCount val="1"/>
                <c:pt idx="0">
                  <c:v>75%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'2011 Q3 Combined'!$I$17:$I$23</c:f>
              <c:numCache>
                <c:formatCode>0%</c:formatCode>
                <c:ptCount val="7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14816"/>
        <c:axId val="104116992"/>
      </c:lineChart>
      <c:catAx>
        <c:axId val="10411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4116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116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4114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9061098473801888"/>
          <c:y val="0.93239554914790579"/>
          <c:w val="0.77049168853893268"/>
          <c:h val="0.9915504787253706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2011 Combined Funds Expenditures by Function Area (Excluding Bond Funds)</a:t>
            </a:r>
          </a:p>
        </c:rich>
      </c:tx>
      <c:layout>
        <c:manualLayout>
          <c:xMode val="edge"/>
          <c:yMode val="edge"/>
          <c:x val="0.13710617283950616"/>
          <c:y val="3.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4128166915052"/>
          <c:y val="0.12259615384615392"/>
          <c:w val="0.87779433681073071"/>
          <c:h val="0.5360576923076925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'2011 Q3 Combined'!$D$48</c:f>
              <c:strCache>
                <c:ptCount val="1"/>
                <c:pt idx="0">
                  <c:v>YTD Expenditures as of 7/15/11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Combined'!$A$49:$B$61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'2011 Q3 Combined'!$D$49:$D$61</c:f>
              <c:numCache>
                <c:formatCode>#,##0_);\(#,##0\)</c:formatCode>
                <c:ptCount val="13"/>
                <c:pt idx="0" formatCode="&quot;$&quot;#,##0_);\(&quot;$&quot;#,##0\)">
                  <c:v>213324</c:v>
                </c:pt>
                <c:pt idx="1">
                  <c:v>841701</c:v>
                </c:pt>
                <c:pt idx="2">
                  <c:v>37466177</c:v>
                </c:pt>
                <c:pt idx="3">
                  <c:v>1971916</c:v>
                </c:pt>
                <c:pt idx="4">
                  <c:v>7523615</c:v>
                </c:pt>
                <c:pt idx="5">
                  <c:v>23831231</c:v>
                </c:pt>
                <c:pt idx="6">
                  <c:v>13671956</c:v>
                </c:pt>
                <c:pt idx="7">
                  <c:v>11957370</c:v>
                </c:pt>
                <c:pt idx="8">
                  <c:v>7892877</c:v>
                </c:pt>
                <c:pt idx="9">
                  <c:v>17038459</c:v>
                </c:pt>
                <c:pt idx="10">
                  <c:v>48082108</c:v>
                </c:pt>
                <c:pt idx="11">
                  <c:v>17414205</c:v>
                </c:pt>
                <c:pt idx="12">
                  <c:v>49529427</c:v>
                </c:pt>
              </c:numCache>
            </c:numRef>
          </c:val>
        </c:ser>
        <c:ser>
          <c:idx val="1"/>
          <c:order val="1"/>
          <c:tx>
            <c:strRef>
              <c:f>'2011 Q3 Combined'!$H$48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Combined'!$A$49:$B$61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'2011 Q3 Combined'!$H$49:$H$61</c:f>
              <c:numCache>
                <c:formatCode>"$"#,##0_);[Red]\("$"#,##0\)</c:formatCode>
                <c:ptCount val="13"/>
                <c:pt idx="0">
                  <c:v>146106</c:v>
                </c:pt>
                <c:pt idx="1">
                  <c:v>293111</c:v>
                </c:pt>
                <c:pt idx="2">
                  <c:v>6021623</c:v>
                </c:pt>
                <c:pt idx="3">
                  <c:v>920185</c:v>
                </c:pt>
                <c:pt idx="4">
                  <c:v>3062706</c:v>
                </c:pt>
                <c:pt idx="5">
                  <c:v>17348127</c:v>
                </c:pt>
                <c:pt idx="6">
                  <c:v>5820646</c:v>
                </c:pt>
                <c:pt idx="7">
                  <c:v>5160396</c:v>
                </c:pt>
                <c:pt idx="8">
                  <c:v>3002693</c:v>
                </c:pt>
                <c:pt idx="9">
                  <c:v>0</c:v>
                </c:pt>
                <c:pt idx="10">
                  <c:v>17267494</c:v>
                </c:pt>
                <c:pt idx="11">
                  <c:v>2274718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134912"/>
        <c:axId val="104153472"/>
      </c:barChart>
      <c:lineChart>
        <c:grouping val="stacked"/>
        <c:varyColors val="0"/>
        <c:ser>
          <c:idx val="2"/>
          <c:order val="2"/>
          <c:tx>
            <c:strRef>
              <c:f>'2011 Q3 Combined'!$G$48</c:f>
              <c:strCache>
                <c:ptCount val="1"/>
                <c:pt idx="0">
                  <c:v>75%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'2011 Q3 Combined'!$I$49:$I$61</c:f>
              <c:numCache>
                <c:formatCode>0%</c:formatCode>
                <c:ptCount val="13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34912"/>
        <c:axId val="104153472"/>
      </c:lineChart>
      <c:catAx>
        <c:axId val="10413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4153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153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413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7570782541071254"/>
          <c:y val="0.93830128205128205"/>
          <c:w val="0.81073012540099143"/>
          <c:h val="0.991185897435897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175488"/>
        <c:axId val="104177024"/>
      </c:barChart>
      <c:catAx>
        <c:axId val="10417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177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17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1754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81216"/>
        <c:axId val="104282752"/>
      </c:barChart>
      <c:catAx>
        <c:axId val="10428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282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282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281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09120"/>
        <c:axId val="104310656"/>
      </c:barChart>
      <c:catAx>
        <c:axId val="10430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310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4310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3091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385344"/>
        <c:axId val="105387136"/>
      </c:barChart>
      <c:catAx>
        <c:axId val="10538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38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38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3853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% of Combined Funds Revenue 
Collected thru 3rd Quarter of Fiscal Year</a:t>
            </a:r>
          </a:p>
        </c:rich>
      </c:tx>
      <c:layout>
        <c:manualLayout>
          <c:xMode val="edge"/>
          <c:yMode val="edge"/>
          <c:x val="0.33284051258298597"/>
          <c:y val="3.3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086E-2"/>
          <c:y val="0.24011365674009302"/>
          <c:w val="0.88609531459131363"/>
          <c:h val="0.5480241106773886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'2011 Q3 Combined'!$M$16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'2011 Q3 Combined'!$M$17:$M$23</c:f>
              <c:numCache>
                <c:formatCode>0.00%</c:formatCode>
                <c:ptCount val="7"/>
                <c:pt idx="0">
                  <c:v>0.99572963130070946</c:v>
                </c:pt>
                <c:pt idx="1">
                  <c:v>1.0592113821138212</c:v>
                </c:pt>
                <c:pt idx="2">
                  <c:v>1.4747514523346372</c:v>
                </c:pt>
                <c:pt idx="3">
                  <c:v>0.75510783582910113</c:v>
                </c:pt>
                <c:pt idx="4">
                  <c:v>0.70119323544834822</c:v>
                </c:pt>
                <c:pt idx="5">
                  <c:v>0.93585329239821979</c:v>
                </c:pt>
                <c:pt idx="6">
                  <c:v>1.9285386707937664</c:v>
                </c:pt>
              </c:numCache>
            </c:numRef>
          </c:val>
        </c:ser>
        <c:ser>
          <c:idx val="0"/>
          <c:order val="1"/>
          <c:tx>
            <c:strRef>
              <c:f>'2011 Q3 Combined'!$P$16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Combined'!$J$17:$J$23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'2011 Q3 Combined'!$P$17:$P$23</c:f>
              <c:numCache>
                <c:formatCode>0.00%</c:formatCode>
                <c:ptCount val="7"/>
                <c:pt idx="0">
                  <c:v>0.98891107225031238</c:v>
                </c:pt>
                <c:pt idx="1">
                  <c:v>0.63369261643452213</c:v>
                </c:pt>
                <c:pt idx="2">
                  <c:v>0.87361508434292812</c:v>
                </c:pt>
                <c:pt idx="3">
                  <c:v>0.70982590367886222</c:v>
                </c:pt>
                <c:pt idx="4">
                  <c:v>0.62433291452503337</c:v>
                </c:pt>
                <c:pt idx="5">
                  <c:v>0.65696789942959766</c:v>
                </c:pt>
                <c:pt idx="6">
                  <c:v>0.99217454318239473</c:v>
                </c:pt>
              </c:numCache>
            </c:numRef>
          </c:val>
        </c:ser>
        <c:ser>
          <c:idx val="1"/>
          <c:order val="2"/>
          <c:tx>
            <c:strRef>
              <c:f>'2011 Q3 Combined'!$T$16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Q3 Combined'!$T$17:$T$23</c:f>
              <c:numCache>
                <c:formatCode>0.00%</c:formatCode>
                <c:ptCount val="7"/>
                <c:pt idx="0">
                  <c:v>0.98798315400094683</c:v>
                </c:pt>
                <c:pt idx="1">
                  <c:v>0.79942505593614599</c:v>
                </c:pt>
                <c:pt idx="2">
                  <c:v>0.63639683062928198</c:v>
                </c:pt>
                <c:pt idx="3">
                  <c:v>0.706031054812857</c:v>
                </c:pt>
                <c:pt idx="4">
                  <c:v>0.74249291469389733</c:v>
                </c:pt>
                <c:pt idx="5">
                  <c:v>0.73839464178276082</c:v>
                </c:pt>
                <c:pt idx="6">
                  <c:v>0.23071765206786926</c:v>
                </c:pt>
              </c:numCache>
            </c:numRef>
          </c:val>
        </c:ser>
        <c:ser>
          <c:idx val="2"/>
          <c:order val="3"/>
          <c:tx>
            <c:strRef>
              <c:f>'2011 Q3 Combined'!$X$16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Q3 Combined'!$X$17:$X$23</c:f>
              <c:numCache>
                <c:formatCode>0.00%</c:formatCode>
                <c:ptCount val="7"/>
                <c:pt idx="0">
                  <c:v>0.98510735838324592</c:v>
                </c:pt>
                <c:pt idx="1">
                  <c:v>0.73029792771075508</c:v>
                </c:pt>
                <c:pt idx="2">
                  <c:v>0.67374579733413198</c:v>
                </c:pt>
                <c:pt idx="3">
                  <c:v>0.75062620331095742</c:v>
                </c:pt>
                <c:pt idx="4">
                  <c:v>0.73832356141597966</c:v>
                </c:pt>
                <c:pt idx="5">
                  <c:v>0.73458601843215743</c:v>
                </c:pt>
                <c:pt idx="6">
                  <c:v>0.2861524170433653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446784"/>
        <c:axId val="105645184"/>
      </c:barChart>
      <c:catAx>
        <c:axId val="10544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5645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64518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5446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751505326540062"/>
          <c:y val="0.91525690644601632"/>
          <c:w val="0.64878354176316189"/>
          <c:h val="0.9700538280172605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400"/>
              <a:t>% of Combined Funds Expenditures 
Spent thru 4th Quarter of Fiscal Year (Excluding Bond Funds)</a:t>
            </a:r>
          </a:p>
        </c:rich>
      </c:tx>
      <c:layout>
        <c:manualLayout>
          <c:xMode val="edge"/>
          <c:yMode val="edge"/>
          <c:x val="0.16012084592145015"/>
          <c:y val="2.63797288496832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153063570981126E-2"/>
          <c:y val="0.17495076273360569"/>
          <c:w val="0.8981798574271872"/>
          <c:h val="0.57809938231405289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'2013 Q4 Combined'!$M$48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D5635"/>
            </a:solidFill>
          </c:spPr>
          <c:invertIfNegative val="0"/>
          <c:val>
            <c:numRef>
              <c:f>'2013 Q4 Combined'!$M$49:$M$61</c:f>
              <c:numCache>
                <c:formatCode>0.00%</c:formatCode>
                <c:ptCount val="13"/>
                <c:pt idx="0">
                  <c:v>0.93527191661614872</c:v>
                </c:pt>
                <c:pt idx="1">
                  <c:v>0.94680626800646472</c:v>
                </c:pt>
                <c:pt idx="2">
                  <c:v>1.1099345364875208</c:v>
                </c:pt>
                <c:pt idx="3">
                  <c:v>0.91175327782339066</c:v>
                </c:pt>
                <c:pt idx="4">
                  <c:v>0.90652630266542678</c:v>
                </c:pt>
                <c:pt idx="5">
                  <c:v>0.70074111630583147</c:v>
                </c:pt>
                <c:pt idx="6">
                  <c:v>0.92192343377861075</c:v>
                </c:pt>
                <c:pt idx="7">
                  <c:v>0.90062056913332489</c:v>
                </c:pt>
                <c:pt idx="8">
                  <c:v>0.93015614068905539</c:v>
                </c:pt>
                <c:pt idx="9">
                  <c:v>0.961527897945468</c:v>
                </c:pt>
                <c:pt idx="10">
                  <c:v>0.97378528425588562</c:v>
                </c:pt>
                <c:pt idx="11">
                  <c:v>0.96734361204220054</c:v>
                </c:pt>
                <c:pt idx="12">
                  <c:v>3.9856446705732083</c:v>
                </c:pt>
              </c:numCache>
            </c:numRef>
          </c:val>
        </c:ser>
        <c:ser>
          <c:idx val="4"/>
          <c:order val="1"/>
          <c:tx>
            <c:strRef>
              <c:f>'2013 Q4 Combined'!$P$48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'2013 Q4 Combined'!$P$49:$P$61</c:f>
              <c:numCache>
                <c:formatCode>0.00%</c:formatCode>
                <c:ptCount val="13"/>
                <c:pt idx="0">
                  <c:v>0.59865322742315541</c:v>
                </c:pt>
                <c:pt idx="1">
                  <c:v>0.77490209389215026</c:v>
                </c:pt>
                <c:pt idx="2">
                  <c:v>0.81763031901828143</c:v>
                </c:pt>
                <c:pt idx="3">
                  <c:v>0.56812063348740993</c:v>
                </c:pt>
                <c:pt idx="4">
                  <c:v>0.7182275958060278</c:v>
                </c:pt>
                <c:pt idx="5">
                  <c:v>0.58363798889933449</c:v>
                </c:pt>
                <c:pt idx="6">
                  <c:v>0.70715293339571728</c:v>
                </c:pt>
                <c:pt idx="7">
                  <c:v>0.68900265740467004</c:v>
                </c:pt>
                <c:pt idx="8">
                  <c:v>0.71233717104634675</c:v>
                </c:pt>
                <c:pt idx="9">
                  <c:v>0.62502905902200667</c:v>
                </c:pt>
                <c:pt idx="10">
                  <c:v>0.73529943577976709</c:v>
                </c:pt>
                <c:pt idx="11">
                  <c:v>0.79064899367886698</c:v>
                </c:pt>
                <c:pt idx="12">
                  <c:v>0.93346091917627383</c:v>
                </c:pt>
              </c:numCache>
            </c:numRef>
          </c:val>
        </c:ser>
        <c:ser>
          <c:idx val="3"/>
          <c:order val="2"/>
          <c:tx>
            <c:strRef>
              <c:f>'2013 Q4 Combined'!$T$48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'2013 Q4 Combined'!$T$49:$T$61</c:f>
              <c:numCache>
                <c:formatCode>0.00%</c:formatCode>
                <c:ptCount val="13"/>
                <c:pt idx="0">
                  <c:v>0.59350638510975706</c:v>
                </c:pt>
                <c:pt idx="1">
                  <c:v>0.74170964001085637</c:v>
                </c:pt>
                <c:pt idx="2">
                  <c:v>0.86153305064868768</c:v>
                </c:pt>
                <c:pt idx="3">
                  <c:v>0.68182819341371548</c:v>
                </c:pt>
                <c:pt idx="4">
                  <c:v>0.71069212807735571</c:v>
                </c:pt>
                <c:pt idx="5">
                  <c:v>0.57871788579122574</c:v>
                </c:pt>
                <c:pt idx="6">
                  <c:v>0.70139204606958061</c:v>
                </c:pt>
                <c:pt idx="7">
                  <c:v>0.69853566172127834</c:v>
                </c:pt>
                <c:pt idx="8">
                  <c:v>0.72441157277682577</c:v>
                </c:pt>
                <c:pt idx="9">
                  <c:v>1.4698695640208952</c:v>
                </c:pt>
                <c:pt idx="10">
                  <c:v>0.73576741905788501</c:v>
                </c:pt>
                <c:pt idx="11">
                  <c:v>0.88446711889726015</c:v>
                </c:pt>
                <c:pt idx="12">
                  <c:v>1.7594773712713203</c:v>
                </c:pt>
              </c:numCache>
            </c:numRef>
          </c:val>
        </c:ser>
        <c:ser>
          <c:idx val="0"/>
          <c:order val="3"/>
          <c:tx>
            <c:strRef>
              <c:f>'2013 Q4 Combined'!$X$48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</c:spPr>
          <c:invertIfNegative val="0"/>
          <c:cat>
            <c:strRef>
              <c:f>'2013 Q4 Combined'!$J$49:$J$61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 Admin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Unclassified</c:v>
                </c:pt>
              </c:strCache>
            </c:strRef>
          </c:cat>
          <c:val>
            <c:numRef>
              <c:f>'2013 Q4 Combined'!$X$49:$X$61</c:f>
              <c:numCache>
                <c:formatCode>0.00%</c:formatCode>
                <c:ptCount val="13"/>
                <c:pt idx="0">
                  <c:v>0.58335889141231234</c:v>
                </c:pt>
                <c:pt idx="1">
                  <c:v>1.8363813375993354</c:v>
                </c:pt>
                <c:pt idx="2">
                  <c:v>0.80285417059285502</c:v>
                </c:pt>
                <c:pt idx="3">
                  <c:v>0.71256320085703972</c:v>
                </c:pt>
                <c:pt idx="4">
                  <c:v>0.7212154428761387</c:v>
                </c:pt>
                <c:pt idx="5">
                  <c:v>0.65417901271000489</c:v>
                </c:pt>
                <c:pt idx="6">
                  <c:v>0.79098047807320482</c:v>
                </c:pt>
                <c:pt idx="7">
                  <c:v>0.68862151052924214</c:v>
                </c:pt>
                <c:pt idx="8">
                  <c:v>0.73895144196357276</c:v>
                </c:pt>
                <c:pt idx="9">
                  <c:v>0.9000369978618008</c:v>
                </c:pt>
                <c:pt idx="10">
                  <c:v>0.73650506561416262</c:v>
                </c:pt>
                <c:pt idx="11">
                  <c:v>2.3730917420551836</c:v>
                </c:pt>
                <c:pt idx="12">
                  <c:v>0.98265315858171343</c:v>
                </c:pt>
              </c:numCache>
            </c:numRef>
          </c:val>
        </c:ser>
        <c:ser>
          <c:idx val="1"/>
          <c:order val="4"/>
          <c:tx>
            <c:strRef>
              <c:f>'2013 Q4 Combined'!$AB$48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</c:spPr>
          <c:invertIfNegative val="0"/>
          <c:val>
            <c:numRef>
              <c:f>'2013 Q4 Combined'!$AB$49:$AB$61</c:f>
              <c:numCache>
                <c:formatCode>0.00%</c:formatCode>
                <c:ptCount val="13"/>
                <c:pt idx="0">
                  <c:v>0.63328731905696334</c:v>
                </c:pt>
                <c:pt idx="1">
                  <c:v>1.8164928879773741</c:v>
                </c:pt>
                <c:pt idx="2">
                  <c:v>0.79487038587086734</c:v>
                </c:pt>
                <c:pt idx="3">
                  <c:v>0.82191295713113721</c:v>
                </c:pt>
                <c:pt idx="4">
                  <c:v>0.66761999220812263</c:v>
                </c:pt>
                <c:pt idx="5">
                  <c:v>0.57483186816877063</c:v>
                </c:pt>
                <c:pt idx="6">
                  <c:v>0.69861526280912989</c:v>
                </c:pt>
                <c:pt idx="7">
                  <c:v>0.66091763845080798</c:v>
                </c:pt>
                <c:pt idx="8">
                  <c:v>0.70593584482403493</c:v>
                </c:pt>
                <c:pt idx="9">
                  <c:v>1.1890314728674238</c:v>
                </c:pt>
                <c:pt idx="10">
                  <c:v>0.69285779414316595</c:v>
                </c:pt>
                <c:pt idx="11">
                  <c:v>2.0922673523738018</c:v>
                </c:pt>
                <c:pt idx="12">
                  <c:v>0.89304128280775075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967168"/>
        <c:axId val="126977152"/>
      </c:barChart>
      <c:catAx>
        <c:axId val="12696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/>
            </a:pPr>
            <a:endParaRPr lang="en-US"/>
          </a:p>
        </c:txPr>
        <c:crossAx val="126977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977152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69671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513872699447312"/>
          <c:y val="0.91711443964241313"/>
          <c:w val="0.44853502073570106"/>
          <c:h val="5.6730708661417321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portrait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% of Combined Funds Expenditures 
Spent thru 3rd Quarter of Fiscal Year (Excluding Bond Funds)</a:t>
            </a:r>
          </a:p>
        </c:rich>
      </c:tx>
      <c:layout>
        <c:manualLayout>
          <c:xMode val="edge"/>
          <c:yMode val="edge"/>
          <c:x val="0.17708038747408827"/>
          <c:y val="3.00925418030611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357E-2"/>
          <c:y val="0.20370416418946272"/>
          <c:w val="0.88821752265861031"/>
          <c:h val="0.5138900505688720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'2011 Q3 Combined'!$M$48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'2011 Q3 Combined'!$M$49:$M$61</c:f>
              <c:numCache>
                <c:formatCode>0.00%</c:formatCode>
                <c:ptCount val="13"/>
                <c:pt idx="0">
                  <c:v>0.59350638510975706</c:v>
                </c:pt>
                <c:pt idx="1">
                  <c:v>0.74170964001085637</c:v>
                </c:pt>
                <c:pt idx="2">
                  <c:v>0.86153305064868768</c:v>
                </c:pt>
                <c:pt idx="3">
                  <c:v>0.68182819341371548</c:v>
                </c:pt>
                <c:pt idx="4">
                  <c:v>0.71069212807735571</c:v>
                </c:pt>
                <c:pt idx="5">
                  <c:v>0.57871788579122574</c:v>
                </c:pt>
                <c:pt idx="6">
                  <c:v>0.70139204606958061</c:v>
                </c:pt>
                <c:pt idx="7">
                  <c:v>0.69853566172127834</c:v>
                </c:pt>
                <c:pt idx="8">
                  <c:v>0.72441157277682577</c:v>
                </c:pt>
                <c:pt idx="9">
                  <c:v>1.4698695640208952</c:v>
                </c:pt>
                <c:pt idx="10">
                  <c:v>0.73576741905788501</c:v>
                </c:pt>
                <c:pt idx="11">
                  <c:v>0.88446711889726015</c:v>
                </c:pt>
                <c:pt idx="12">
                  <c:v>1.7594773712713203</c:v>
                </c:pt>
              </c:numCache>
            </c:numRef>
          </c:val>
        </c:ser>
        <c:ser>
          <c:idx val="0"/>
          <c:order val="1"/>
          <c:tx>
            <c:strRef>
              <c:f>'2011 Q3 Combined'!$Q$48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Combined'!$J$49:$J$61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'2011 Q3 Combined'!$Q$49:$Q$61</c:f>
              <c:numCache>
                <c:formatCode>0.00%</c:formatCode>
                <c:ptCount val="13"/>
                <c:pt idx="0">
                  <c:v>0.58335889141231234</c:v>
                </c:pt>
                <c:pt idx="1">
                  <c:v>1.8363813375993354</c:v>
                </c:pt>
                <c:pt idx="2">
                  <c:v>0.80285417059285502</c:v>
                </c:pt>
                <c:pt idx="3">
                  <c:v>0.71256320085703972</c:v>
                </c:pt>
                <c:pt idx="4">
                  <c:v>0.7212154428761387</c:v>
                </c:pt>
                <c:pt idx="5">
                  <c:v>0.65417901271000489</c:v>
                </c:pt>
                <c:pt idx="6">
                  <c:v>0.79098047807320482</c:v>
                </c:pt>
                <c:pt idx="7">
                  <c:v>0.68862151052924214</c:v>
                </c:pt>
                <c:pt idx="8">
                  <c:v>0.73895144196357276</c:v>
                </c:pt>
                <c:pt idx="9">
                  <c:v>0.9000369978618008</c:v>
                </c:pt>
                <c:pt idx="10">
                  <c:v>0.73650506561416262</c:v>
                </c:pt>
                <c:pt idx="11">
                  <c:v>2.3730917420551836</c:v>
                </c:pt>
                <c:pt idx="12">
                  <c:v>0.98265315858171343</c:v>
                </c:pt>
              </c:numCache>
            </c:numRef>
          </c:val>
        </c:ser>
        <c:ser>
          <c:idx val="1"/>
          <c:order val="2"/>
          <c:tx>
            <c:strRef>
              <c:f>'2011 Q3 Combined'!$U$48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Q3 Combined'!$U$49:$U$61</c:f>
              <c:numCache>
                <c:formatCode>0.00%</c:formatCode>
                <c:ptCount val="13"/>
                <c:pt idx="0">
                  <c:v>0.63328731905696334</c:v>
                </c:pt>
                <c:pt idx="1">
                  <c:v>1.8164928879773741</c:v>
                </c:pt>
                <c:pt idx="2">
                  <c:v>0.79487038587086734</c:v>
                </c:pt>
                <c:pt idx="3">
                  <c:v>0.82191295713113721</c:v>
                </c:pt>
                <c:pt idx="4">
                  <c:v>0.66761999220812263</c:v>
                </c:pt>
                <c:pt idx="5">
                  <c:v>0.57483186816877063</c:v>
                </c:pt>
                <c:pt idx="6">
                  <c:v>0.69861526280912989</c:v>
                </c:pt>
                <c:pt idx="7">
                  <c:v>0.66091763845080798</c:v>
                </c:pt>
                <c:pt idx="8">
                  <c:v>0.70593584482403493</c:v>
                </c:pt>
                <c:pt idx="9">
                  <c:v>1.1890314728674238</c:v>
                </c:pt>
                <c:pt idx="10">
                  <c:v>0.69285779414316595</c:v>
                </c:pt>
                <c:pt idx="11">
                  <c:v>2.0922673523738018</c:v>
                </c:pt>
                <c:pt idx="12">
                  <c:v>0.89304128280775075</c:v>
                </c:pt>
              </c:numCache>
            </c:numRef>
          </c:val>
        </c:ser>
        <c:ser>
          <c:idx val="2"/>
          <c:order val="3"/>
          <c:tx>
            <c:strRef>
              <c:f>'2011 Q3 Combined'!$AA$48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Q3 Combined'!$AA$49:$AA$61</c:f>
              <c:numCache>
                <c:formatCode>0.00%</c:formatCode>
                <c:ptCount val="13"/>
                <c:pt idx="0">
                  <c:v>0.68380236957737051</c:v>
                </c:pt>
                <c:pt idx="1">
                  <c:v>1.2452108269212006</c:v>
                </c:pt>
                <c:pt idx="2">
                  <c:v>0.79795696164539764</c:v>
                </c:pt>
                <c:pt idx="3">
                  <c:v>0.85435158409067102</c:v>
                </c:pt>
                <c:pt idx="4">
                  <c:v>0.68233298731137515</c:v>
                </c:pt>
                <c:pt idx="5">
                  <c:v>0.5540205676801947</c:v>
                </c:pt>
                <c:pt idx="6">
                  <c:v>0.70144232493292746</c:v>
                </c:pt>
                <c:pt idx="7">
                  <c:v>0.66545879056542434</c:v>
                </c:pt>
                <c:pt idx="8">
                  <c:v>0.70899500248443403</c:v>
                </c:pt>
                <c:pt idx="9">
                  <c:v>1.4629938402081082</c:v>
                </c:pt>
                <c:pt idx="10">
                  <c:v>0.71430861700959669</c:v>
                </c:pt>
                <c:pt idx="11">
                  <c:v>2.2429758955579722</c:v>
                </c:pt>
                <c:pt idx="12">
                  <c:v>0.86059840562600887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96640"/>
        <c:axId val="105706624"/>
      </c:barChart>
      <c:catAx>
        <c:axId val="10569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570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70662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5696640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519637747984203"/>
          <c:y val="0.96963921082898341"/>
          <c:w val="0.60536268552016581"/>
          <c:h val="0.9953515585832669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2011 Combined Funds Revenue by Source</a:t>
            </a:r>
          </a:p>
        </c:rich>
      </c:tx>
      <c:layout>
        <c:manualLayout>
          <c:xMode val="edge"/>
          <c:yMode val="edge"/>
          <c:x val="0.27421763390687276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23E-2"/>
          <c:w val="0.87928464977645282"/>
          <c:h val="0.7323953735631794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'2011 Q2 Combined'!$D$16</c:f>
              <c:strCache>
                <c:ptCount val="1"/>
                <c:pt idx="0">
                  <c:v>YTD Collections as of 4/15/11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'2011 Q2 Combined'!$D$17:$D$23</c:f>
              <c:numCache>
                <c:formatCode>#,##0</c:formatCode>
                <c:ptCount val="7"/>
                <c:pt idx="0" formatCode="&quot;$&quot;#,##0_);[Red]\(&quot;$&quot;#,##0\)">
                  <c:v>166859696</c:v>
                </c:pt>
                <c:pt idx="1">
                  <c:v>188869</c:v>
                </c:pt>
                <c:pt idx="2">
                  <c:v>8795542</c:v>
                </c:pt>
                <c:pt idx="3">
                  <c:v>19009928</c:v>
                </c:pt>
                <c:pt idx="4">
                  <c:v>1771396</c:v>
                </c:pt>
                <c:pt idx="5">
                  <c:v>2173198</c:v>
                </c:pt>
                <c:pt idx="6">
                  <c:v>54436954</c:v>
                </c:pt>
              </c:numCache>
            </c:numRef>
          </c:val>
        </c:ser>
        <c:ser>
          <c:idx val="1"/>
          <c:order val="1"/>
          <c:tx>
            <c:strRef>
              <c:f>'2011 Q2 Combined'!$H$16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'2011 Q2 Combined'!$H$17:$H$23</c:f>
              <c:numCache>
                <c:formatCode>"$"#,##0_);[Red]\("$"#,##0\)</c:formatCode>
                <c:ptCount val="7"/>
                <c:pt idx="0">
                  <c:v>3890128</c:v>
                </c:pt>
                <c:pt idx="1">
                  <c:v>57131</c:v>
                </c:pt>
                <c:pt idx="2" formatCode="#,##0_);[Red]\(#,##0\)">
                  <c:v>1514754</c:v>
                </c:pt>
                <c:pt idx="3" formatCode="#,##0_);[Red]\(#,##0\)">
                  <c:v>19915168</c:v>
                </c:pt>
                <c:pt idx="4" formatCode="#,##0_);[Red]\(#,##0\)">
                  <c:v>2042604</c:v>
                </c:pt>
                <c:pt idx="5" formatCode="#,##0_);[Red]\(#,##0\)">
                  <c:v>1039399</c:v>
                </c:pt>
                <c:pt idx="6" formatCode="#,##0_);[Red]\(#,##0\)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737600"/>
        <c:axId val="105747968"/>
      </c:barChart>
      <c:lineChart>
        <c:grouping val="stacked"/>
        <c:varyColors val="0"/>
        <c:ser>
          <c:idx val="2"/>
          <c:order val="2"/>
          <c:tx>
            <c:strRef>
              <c:f>'2011 Q2 Combined'!$I$16</c:f>
              <c:strCache>
                <c:ptCount val="1"/>
                <c:pt idx="0">
                  <c:v>50%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'2011 Q2 Combined'!$I$17:$I$23</c:f>
              <c:numCache>
                <c:formatCode>0%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37600"/>
        <c:axId val="105747968"/>
      </c:lineChart>
      <c:catAx>
        <c:axId val="10573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5747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747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57376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9061098473801888"/>
          <c:y val="0.93239554914790579"/>
          <c:w val="0.77049168853893268"/>
          <c:h val="0.9915504787253706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2011 Combined Funds Expenditures by Function Area</a:t>
            </a:r>
          </a:p>
        </c:rich>
      </c:tx>
      <c:layout>
        <c:manualLayout>
          <c:xMode val="edge"/>
          <c:yMode val="edge"/>
          <c:x val="0.22056638475746088"/>
          <c:y val="3.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4128166915052"/>
          <c:y val="0.12259615384615392"/>
          <c:w val="0.87779433681073071"/>
          <c:h val="0.5360576923076925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'2011 Q2 Combined'!$D$48</c:f>
              <c:strCache>
                <c:ptCount val="1"/>
                <c:pt idx="0">
                  <c:v>YTD Expenditures as 4f 4/15/11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Combined'!$A$49:$B$61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'2011 Q2 Combined'!$D$49:$D$61</c:f>
              <c:numCache>
                <c:formatCode>#,##0_);\(#,##0\)</c:formatCode>
                <c:ptCount val="13"/>
                <c:pt idx="0" formatCode="&quot;$&quot;#,##0_);\(&quot;$&quot;#,##0\)">
                  <c:v>139650</c:v>
                </c:pt>
                <c:pt idx="1">
                  <c:v>1751403</c:v>
                </c:pt>
                <c:pt idx="2">
                  <c:v>37462677</c:v>
                </c:pt>
                <c:pt idx="3">
                  <c:v>991365</c:v>
                </c:pt>
                <c:pt idx="4">
                  <c:v>5265073</c:v>
                </c:pt>
                <c:pt idx="5">
                  <c:v>17901019</c:v>
                </c:pt>
                <c:pt idx="6">
                  <c:v>8658087</c:v>
                </c:pt>
                <c:pt idx="7">
                  <c:v>8347951</c:v>
                </c:pt>
                <c:pt idx="8">
                  <c:v>5491960</c:v>
                </c:pt>
                <c:pt idx="9">
                  <c:v>16536076</c:v>
                </c:pt>
                <c:pt idx="10">
                  <c:v>33346743</c:v>
                </c:pt>
                <c:pt idx="11">
                  <c:v>29414617</c:v>
                </c:pt>
                <c:pt idx="12">
                  <c:v>42044479</c:v>
                </c:pt>
              </c:numCache>
            </c:numRef>
          </c:val>
        </c:ser>
        <c:ser>
          <c:idx val="1"/>
          <c:order val="1"/>
          <c:tx>
            <c:strRef>
              <c:f>'2011 Q2 Combined'!$H$48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Combined'!$A$49:$B$61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'2011 Q2 Combined'!$H$49:$H$61</c:f>
              <c:numCache>
                <c:formatCode>"$"#,##0_);[Red]\("$"#,##0\)</c:formatCode>
                <c:ptCount val="13"/>
                <c:pt idx="0">
                  <c:v>219780</c:v>
                </c:pt>
                <c:pt idx="1">
                  <c:v>0</c:v>
                </c:pt>
                <c:pt idx="2">
                  <c:v>6025123</c:v>
                </c:pt>
                <c:pt idx="3">
                  <c:v>1900736</c:v>
                </c:pt>
                <c:pt idx="4">
                  <c:v>5321248</c:v>
                </c:pt>
                <c:pt idx="5">
                  <c:v>23278339</c:v>
                </c:pt>
                <c:pt idx="6">
                  <c:v>10834515</c:v>
                </c:pt>
                <c:pt idx="7">
                  <c:v>8769815</c:v>
                </c:pt>
                <c:pt idx="8">
                  <c:v>5403610</c:v>
                </c:pt>
                <c:pt idx="9">
                  <c:v>0</c:v>
                </c:pt>
                <c:pt idx="10">
                  <c:v>32002859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913344"/>
        <c:axId val="105931904"/>
      </c:barChart>
      <c:lineChart>
        <c:grouping val="stacked"/>
        <c:varyColors val="0"/>
        <c:ser>
          <c:idx val="2"/>
          <c:order val="2"/>
          <c:tx>
            <c:strRef>
              <c:f>'2011 Q2 Combined'!$G$48</c:f>
              <c:strCache>
                <c:ptCount val="1"/>
                <c:pt idx="0">
                  <c:v>50%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'2011 Q2 Combined'!$I$49:$I$61</c:f>
              <c:numCache>
                <c:formatCode>0%</c:formatCode>
                <c:ptCount val="13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13344"/>
        <c:axId val="105931904"/>
      </c:lineChart>
      <c:catAx>
        <c:axId val="10591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5931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931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59133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7570782541071254"/>
          <c:y val="0.93830128205128205"/>
          <c:w val="0.81073012540099143"/>
          <c:h val="0.991185897435897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974400"/>
        <c:axId val="105988480"/>
      </c:barChart>
      <c:catAx>
        <c:axId val="10597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988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988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974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06400"/>
        <c:axId val="106007936"/>
      </c:barChart>
      <c:catAx>
        <c:axId val="10600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0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007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06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147840"/>
        <c:axId val="108149376"/>
      </c:barChart>
      <c:catAx>
        <c:axId val="10814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149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149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1478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179840"/>
        <c:axId val="108181376"/>
      </c:barChart>
      <c:catAx>
        <c:axId val="1081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18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181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1798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% of Combined Funds Revenue 
Collected thru 2nd Quarter of Fiscal Year</a:t>
            </a:r>
          </a:p>
        </c:rich>
      </c:tx>
      <c:layout>
        <c:manualLayout>
          <c:xMode val="edge"/>
          <c:yMode val="edge"/>
          <c:x val="0.33284051258298597"/>
          <c:y val="3.3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086E-2"/>
          <c:y val="0.24011365674009302"/>
          <c:w val="0.88609531459131363"/>
          <c:h val="0.5480241106773886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'2011 Q2 Combined'!$M$16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'2011 Q2 Combined'!$M$17:$M$23</c:f>
              <c:numCache>
                <c:formatCode>0.00%</c:formatCode>
                <c:ptCount val="7"/>
                <c:pt idx="0">
                  <c:v>0.97721738208058129</c:v>
                </c:pt>
                <c:pt idx="1">
                  <c:v>0.76776016260162605</c:v>
                </c:pt>
                <c:pt idx="2">
                  <c:v>0.85308336443492994</c:v>
                </c:pt>
                <c:pt idx="3">
                  <c:v>0.48837202610881164</c:v>
                </c:pt>
                <c:pt idx="4">
                  <c:v>0.46444572627163083</c:v>
                </c:pt>
                <c:pt idx="5">
                  <c:v>0.67646144225372806</c:v>
                </c:pt>
                <c:pt idx="6">
                  <c:v>1.8262817044845105</c:v>
                </c:pt>
              </c:numCache>
            </c:numRef>
          </c:val>
        </c:ser>
        <c:ser>
          <c:idx val="0"/>
          <c:order val="1"/>
          <c:tx>
            <c:strRef>
              <c:f>'2011 Q2 Combined'!$P$16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Combined'!$J$17:$J$23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'2011 Q2 Combined'!$P$17:$P$23</c:f>
              <c:numCache>
                <c:formatCode>0.00%</c:formatCode>
                <c:ptCount val="7"/>
                <c:pt idx="0">
                  <c:v>0.96710310815582257</c:v>
                </c:pt>
                <c:pt idx="1">
                  <c:v>0.41389711005377339</c:v>
                </c:pt>
                <c:pt idx="2">
                  <c:v>0.54667993799076475</c:v>
                </c:pt>
                <c:pt idx="3">
                  <c:v>0.43679930939396983</c:v>
                </c:pt>
                <c:pt idx="4">
                  <c:v>0.37006269723423346</c:v>
                </c:pt>
                <c:pt idx="5">
                  <c:v>0.25515008483551016</c:v>
                </c:pt>
                <c:pt idx="6">
                  <c:v>0.87207522774373869</c:v>
                </c:pt>
              </c:numCache>
            </c:numRef>
          </c:val>
        </c:ser>
        <c:ser>
          <c:idx val="1"/>
          <c:order val="2"/>
          <c:tx>
            <c:strRef>
              <c:f>'2011 Q2 Combined'!$T$16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Q2 Combined'!$T$17:$T$23</c:f>
              <c:numCache>
                <c:formatCode>0.00%</c:formatCode>
                <c:ptCount val="7"/>
                <c:pt idx="0">
                  <c:v>0.96520185903293965</c:v>
                </c:pt>
                <c:pt idx="1">
                  <c:v>0.58108996654661782</c:v>
                </c:pt>
                <c:pt idx="2">
                  <c:v>0.45461223846980953</c:v>
                </c:pt>
                <c:pt idx="3">
                  <c:v>0.4857511435403668</c:v>
                </c:pt>
                <c:pt idx="4">
                  <c:v>0.47659266448282794</c:v>
                </c:pt>
                <c:pt idx="5">
                  <c:v>0.50769921719947342</c:v>
                </c:pt>
                <c:pt idx="6">
                  <c:v>0.19566187982088112</c:v>
                </c:pt>
              </c:numCache>
            </c:numRef>
          </c:val>
        </c:ser>
        <c:ser>
          <c:idx val="2"/>
          <c:order val="3"/>
          <c:tx>
            <c:strRef>
              <c:f>'2011 Q2 Combined'!$X$16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Q2 Combined'!$X$17:$X$23</c:f>
              <c:numCache>
                <c:formatCode>0.00%</c:formatCode>
                <c:ptCount val="7"/>
                <c:pt idx="0">
                  <c:v>0.95831797486522552</c:v>
                </c:pt>
                <c:pt idx="1">
                  <c:v>0.47183926873262433</c:v>
                </c:pt>
                <c:pt idx="2">
                  <c:v>0.37714619104162128</c:v>
                </c:pt>
                <c:pt idx="3">
                  <c:v>0.49715323831668901</c:v>
                </c:pt>
                <c:pt idx="4">
                  <c:v>0.32179488252514643</c:v>
                </c:pt>
                <c:pt idx="5">
                  <c:v>0.52515833301453496</c:v>
                </c:pt>
                <c:pt idx="6">
                  <c:v>0.23563392212024023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274048"/>
        <c:axId val="108275584"/>
      </c:barChart>
      <c:catAx>
        <c:axId val="10827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827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27558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8274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751505326540062"/>
          <c:y val="0.91525690644601632"/>
          <c:w val="0.64878354176316189"/>
          <c:h val="0.9700538280172605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% of Combined Funds Expenditures 
Spent thru 2nd Quarter of Fiscal Year</a:t>
            </a:r>
          </a:p>
        </c:rich>
      </c:tx>
      <c:layout>
        <c:manualLayout>
          <c:xMode val="edge"/>
          <c:yMode val="edge"/>
          <c:x val="0.31722052761422842"/>
          <c:y val="3.00925418030611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357E-2"/>
          <c:y val="0.20370416418946272"/>
          <c:w val="0.88821752265861031"/>
          <c:h val="0.5138900505688720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'2011 Q2 Combined'!$M$48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'2011 Q2 Combined'!$M$49:$M$61</c:f>
              <c:numCache>
                <c:formatCode>0.00%</c:formatCode>
                <c:ptCount val="13"/>
                <c:pt idx="0">
                  <c:v>0.38853184208329855</c:v>
                </c:pt>
                <c:pt idx="1">
                  <c:v>1.5433419808743651</c:v>
                </c:pt>
                <c:pt idx="2">
                  <c:v>0.86145256830651351</c:v>
                </c:pt>
                <c:pt idx="3">
                  <c:v>0.34278367180122687</c:v>
                </c:pt>
                <c:pt idx="4">
                  <c:v>0.49734681198501351</c:v>
                </c:pt>
                <c:pt idx="5">
                  <c:v>0.43470854985160284</c:v>
                </c:pt>
                <c:pt idx="6">
                  <c:v>0.4441729739313407</c:v>
                </c:pt>
                <c:pt idx="7">
                  <c:v>0.48767759764913249</c:v>
                </c:pt>
                <c:pt idx="8">
                  <c:v>0.50405440009104618</c:v>
                </c:pt>
                <c:pt idx="9">
                  <c:v>1.4265301117158768</c:v>
                </c:pt>
                <c:pt idx="10">
                  <c:v>0.51028226614142191</c:v>
                </c:pt>
                <c:pt idx="11">
                  <c:v>1.4939678010828727</c:v>
                </c:pt>
                <c:pt idx="12">
                  <c:v>1.4935829842608968</c:v>
                </c:pt>
              </c:numCache>
            </c:numRef>
          </c:val>
        </c:ser>
        <c:ser>
          <c:idx val="0"/>
          <c:order val="1"/>
          <c:tx>
            <c:strRef>
              <c:f>'2011 Q2 Combined'!$Q$48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Combined'!$J$49:$J$61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'2011 Q2 Combined'!$Q$49:$Q$61</c:f>
              <c:numCache>
                <c:formatCode>0.00%</c:formatCode>
                <c:ptCount val="13"/>
                <c:pt idx="0">
                  <c:v>0.42521139522870965</c:v>
                </c:pt>
                <c:pt idx="1">
                  <c:v>1.4135777417746298</c:v>
                </c:pt>
                <c:pt idx="2">
                  <c:v>0.80277401508751045</c:v>
                </c:pt>
                <c:pt idx="3">
                  <c:v>0.53862756892814267</c:v>
                </c:pt>
                <c:pt idx="4">
                  <c:v>0.52624247978161132</c:v>
                </c:pt>
                <c:pt idx="5">
                  <c:v>0.43277225283665188</c:v>
                </c:pt>
                <c:pt idx="6">
                  <c:v>0.55535105033759047</c:v>
                </c:pt>
                <c:pt idx="7">
                  <c:v>0.50963262593208847</c:v>
                </c:pt>
                <c:pt idx="8">
                  <c:v>0.53722549647465567</c:v>
                </c:pt>
                <c:pt idx="9">
                  <c:v>0.5583356635130533</c:v>
                </c:pt>
                <c:pt idx="10">
                  <c:v>0.53721093035543166</c:v>
                </c:pt>
                <c:pt idx="11">
                  <c:v>1.7157707533007651</c:v>
                </c:pt>
                <c:pt idx="12">
                  <c:v>0.68081894565774403</c:v>
                </c:pt>
              </c:numCache>
            </c:numRef>
          </c:val>
        </c:ser>
        <c:ser>
          <c:idx val="1"/>
          <c:order val="2"/>
          <c:tx>
            <c:strRef>
              <c:f>'2011 Q2 Combined'!$U$48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Q2 Combined'!$U$49:$U$61</c:f>
              <c:numCache>
                <c:formatCode>0.00%</c:formatCode>
                <c:ptCount val="13"/>
                <c:pt idx="0">
                  <c:v>0.46298145778232808</c:v>
                </c:pt>
                <c:pt idx="1">
                  <c:v>1.4815584178230596</c:v>
                </c:pt>
                <c:pt idx="2">
                  <c:v>0.79485402673568795</c:v>
                </c:pt>
                <c:pt idx="3">
                  <c:v>0.45959410525238276</c:v>
                </c:pt>
                <c:pt idx="4">
                  <c:v>0.47209942776737962</c:v>
                </c:pt>
                <c:pt idx="5">
                  <c:v>0.39098355697770276</c:v>
                </c:pt>
                <c:pt idx="6">
                  <c:v>0.49382559860884867</c:v>
                </c:pt>
                <c:pt idx="7">
                  <c:v>0.48097534647211193</c:v>
                </c:pt>
                <c:pt idx="8">
                  <c:v>0.50042734083667828</c:v>
                </c:pt>
                <c:pt idx="9">
                  <c:v>0.86857221194690837</c:v>
                </c:pt>
                <c:pt idx="10">
                  <c:v>0.49636965595469068</c:v>
                </c:pt>
                <c:pt idx="11">
                  <c:v>1.1817005831326839</c:v>
                </c:pt>
                <c:pt idx="12">
                  <c:v>0.66330450943556862</c:v>
                </c:pt>
              </c:numCache>
            </c:numRef>
          </c:val>
        </c:ser>
        <c:ser>
          <c:idx val="2"/>
          <c:order val="3"/>
          <c:tx>
            <c:strRef>
              <c:f>'2011 Q2 Combined'!$AA$48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Q2 Combined'!$AA$49:$AA$61</c:f>
              <c:numCache>
                <c:formatCode>0.00%</c:formatCode>
                <c:ptCount val="13"/>
                <c:pt idx="0">
                  <c:v>0.43221129046632656</c:v>
                </c:pt>
                <c:pt idx="1">
                  <c:v>1.0171499692701302</c:v>
                </c:pt>
                <c:pt idx="2">
                  <c:v>0.79630938908241167</c:v>
                </c:pt>
                <c:pt idx="3">
                  <c:v>0.56756284069918206</c:v>
                </c:pt>
                <c:pt idx="4">
                  <c:v>0.51394917013670982</c:v>
                </c:pt>
                <c:pt idx="5">
                  <c:v>0.30169012344859009</c:v>
                </c:pt>
                <c:pt idx="6">
                  <c:v>0.41206862703618996</c:v>
                </c:pt>
                <c:pt idx="7">
                  <c:v>0.46691191959455824</c:v>
                </c:pt>
                <c:pt idx="8">
                  <c:v>0.49846173625880785</c:v>
                </c:pt>
                <c:pt idx="9">
                  <c:v>0.81920497380754109</c:v>
                </c:pt>
                <c:pt idx="10">
                  <c:v>0.50732895730016148</c:v>
                </c:pt>
                <c:pt idx="11">
                  <c:v>1.508805031745805</c:v>
                </c:pt>
                <c:pt idx="12">
                  <c:v>0.634152381999599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310912"/>
        <c:axId val="108312448"/>
      </c:barChart>
      <c:catAx>
        <c:axId val="10831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831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31244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8310912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519637747984203"/>
          <c:y val="0.96963921082898341"/>
          <c:w val="0.60536268552016581"/>
          <c:h val="0.9953515585832669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2011 Combined Funds Revenue by Source</a:t>
            </a:r>
          </a:p>
        </c:rich>
      </c:tx>
      <c:layout>
        <c:manualLayout>
          <c:xMode val="edge"/>
          <c:yMode val="edge"/>
          <c:x val="0.27421758569299554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09E-2"/>
          <c:w val="0.87928464977645304"/>
          <c:h val="0.732395373563178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'2011 Q1 Combined'!$D$16</c:f>
              <c:strCache>
                <c:ptCount val="1"/>
                <c:pt idx="0">
                  <c:v>YTD Collections as of 1/15/11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'2011 Q1 Combined'!$D$17:$D$23</c:f>
              <c:numCache>
                <c:formatCode>#,##0</c:formatCode>
                <c:ptCount val="7"/>
                <c:pt idx="0" formatCode="&quot;$&quot;#,##0_);[Red]\(&quot;$&quot;#,##0\)">
                  <c:v>96940992</c:v>
                </c:pt>
                <c:pt idx="1">
                  <c:v>81524</c:v>
                </c:pt>
                <c:pt idx="2">
                  <c:v>5341781</c:v>
                </c:pt>
                <c:pt idx="3">
                  <c:v>6957507</c:v>
                </c:pt>
                <c:pt idx="4">
                  <c:v>671735</c:v>
                </c:pt>
                <c:pt idx="5">
                  <c:v>1360324</c:v>
                </c:pt>
                <c:pt idx="6">
                  <c:v>31021308</c:v>
                </c:pt>
              </c:numCache>
            </c:numRef>
          </c:val>
        </c:ser>
        <c:ser>
          <c:idx val="1"/>
          <c:order val="1"/>
          <c:tx>
            <c:strRef>
              <c:f>'2011 Q1 Combined'!$H$16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'2011 Q1 Combined'!$H$17:$H$23</c:f>
              <c:numCache>
                <c:formatCode>"$"#,##0_);[Red]\("$"#,##0\)</c:formatCode>
                <c:ptCount val="7"/>
                <c:pt idx="0">
                  <c:v>73808832</c:v>
                </c:pt>
                <c:pt idx="1">
                  <c:v>164476</c:v>
                </c:pt>
                <c:pt idx="2" formatCode="#,##0_);[Red]\(#,##0\)">
                  <c:v>4968515</c:v>
                </c:pt>
                <c:pt idx="3" formatCode="#,##0_);[Red]\(#,##0\)">
                  <c:v>31967589</c:v>
                </c:pt>
                <c:pt idx="4" formatCode="#,##0_);[Red]\(#,##0\)">
                  <c:v>3142265</c:v>
                </c:pt>
                <c:pt idx="5" formatCode="#,##0_);[Red]\(#,##0\)">
                  <c:v>1852273</c:v>
                </c:pt>
                <c:pt idx="6" formatCode="#,##0_);[Red]\(#,##0\)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678976"/>
        <c:axId val="109680896"/>
      </c:barChart>
      <c:lineChart>
        <c:grouping val="stacked"/>
        <c:varyColors val="0"/>
        <c:ser>
          <c:idx val="2"/>
          <c:order val="2"/>
          <c:tx>
            <c:strRef>
              <c:f>'2011 Q1 Combined'!$I$16</c:f>
              <c:strCache>
                <c:ptCount val="1"/>
                <c:pt idx="0">
                  <c:v>25%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'2011 Q1 Combined'!$I$17:$I$23</c:f>
              <c:numCache>
                <c:formatCode>0%</c:formatCode>
                <c:ptCount val="7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78976"/>
        <c:axId val="109680896"/>
      </c:lineChart>
      <c:catAx>
        <c:axId val="10967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968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68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9678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9061102831594637"/>
          <c:y val="0.93239554914790579"/>
          <c:w val="0.7704918032786886"/>
          <c:h val="0.9915504787253706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FY 2013 Combined Funds Revenue by Source (Excl Bond Funds)</a:t>
            </a:r>
          </a:p>
        </c:rich>
      </c:tx>
      <c:layout>
        <c:manualLayout>
          <c:xMode val="edge"/>
          <c:yMode val="edge"/>
          <c:x val="0.14428216592151019"/>
          <c:y val="1.935680591178949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418777943368111E-2"/>
          <c:y val="0.10836415379740402"/>
          <c:w val="0.87133631395926481"/>
          <c:h val="0.7141721521711835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'2013 Q3 Combined'!$D$16</c:f>
              <c:strCache>
                <c:ptCount val="1"/>
                <c:pt idx="0">
                  <c:v>YTD Collections as of 7/15/13</c:v>
                </c:pt>
              </c:strCache>
            </c:strRef>
          </c:tx>
          <c:invertIfNegative val="0"/>
          <c:cat>
            <c:strRef>
              <c:f>'2013 Q3 Combined'!$A$17:$B$23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Misc., Transfers, Ins.</c:v>
                </c:pt>
              </c:strCache>
            </c:strRef>
          </c:cat>
          <c:val>
            <c:numRef>
              <c:f>'2013 Q3 Combined'!$D$17:$D$23</c:f>
              <c:numCache>
                <c:formatCode>#,##0</c:formatCode>
                <c:ptCount val="7"/>
                <c:pt idx="0" formatCode="&quot;$&quot;#,##0_);\(&quot;$&quot;#,##0\)">
                  <c:v>179323489</c:v>
                </c:pt>
                <c:pt idx="1">
                  <c:v>289539</c:v>
                </c:pt>
                <c:pt idx="2">
                  <c:v>12102884</c:v>
                </c:pt>
                <c:pt idx="3">
                  <c:v>29489426</c:v>
                </c:pt>
                <c:pt idx="4">
                  <c:v>3108337</c:v>
                </c:pt>
                <c:pt idx="5">
                  <c:v>1310876</c:v>
                </c:pt>
                <c:pt idx="6">
                  <c:v>36045733</c:v>
                </c:pt>
              </c:numCache>
            </c:numRef>
          </c:val>
        </c:ser>
        <c:ser>
          <c:idx val="1"/>
          <c:order val="1"/>
          <c:tx>
            <c:strRef>
              <c:f>'2013 Q3 Combined'!$H$16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wdDn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1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2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3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4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5"/>
            <c:invertIfNegative val="0"/>
            <c:bubble3D val="0"/>
            <c:spPr>
              <a:pattFill prst="dk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6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cat>
            <c:strRef>
              <c:f>'2013 Q3 Combined'!$A$17:$B$23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Misc., Transfers, Ins.</c:v>
                </c:pt>
              </c:strCache>
            </c:strRef>
          </c:cat>
          <c:val>
            <c:numRef>
              <c:f>'2013 Q3 Combined'!$H$17:$H$23</c:f>
              <c:numCache>
                <c:formatCode>"$"#,##0_);[Red]\("$"#,##0\)</c:formatCode>
                <c:ptCount val="7"/>
                <c:pt idx="0">
                  <c:v>0</c:v>
                </c:pt>
                <c:pt idx="1">
                  <c:v>0</c:v>
                </c:pt>
                <c:pt idx="2" formatCode="#,##0_);[Red]\(#,##0\)">
                  <c:v>0</c:v>
                </c:pt>
                <c:pt idx="3" formatCode="#,##0_);[Red]\(#,##0\)">
                  <c:v>14749849</c:v>
                </c:pt>
                <c:pt idx="4" formatCode="#,##0_);[Red]\(#,##0\)">
                  <c:v>561030</c:v>
                </c:pt>
                <c:pt idx="5" formatCode="#,##0_);[Red]\(#,##0\)">
                  <c:v>1683842</c:v>
                </c:pt>
                <c:pt idx="6" formatCode="#,##0_);[Red]\(#,##0\)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215424"/>
        <c:axId val="32309248"/>
      </c:barChart>
      <c:lineChart>
        <c:grouping val="stacked"/>
        <c:varyColors val="0"/>
        <c:ser>
          <c:idx val="2"/>
          <c:order val="2"/>
          <c:tx>
            <c:strRef>
              <c:f>'2013 Q3 Combined'!$I$16</c:f>
              <c:strCache>
                <c:ptCount val="1"/>
                <c:pt idx="0">
                  <c:v>75%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</c:spPr>
          </c:marker>
          <c:val>
            <c:numRef>
              <c:f>'2013 Q3 Combined'!$I$17:$I$23</c:f>
              <c:numCache>
                <c:formatCode>0%</c:formatCode>
                <c:ptCount val="7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15424"/>
        <c:axId val="32309248"/>
      </c:lineChart>
      <c:catAx>
        <c:axId val="322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3230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3092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22154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38318282901862"/>
          <c:y val="0.93239554914790579"/>
          <c:w val="0.62280789791143942"/>
          <c:h val="5.9154929577464821E-2"/>
        </c:manualLayout>
      </c:layout>
      <c:overlay val="0"/>
    </c:legend>
    <c:plotVisOnly val="1"/>
    <c:dispBlanksAs val="zero"/>
    <c:showDLblsOverMax val="0"/>
  </c:chart>
  <c:printSettings>
    <c:headerFooter alignWithMargins="0"/>
    <c:pageMargins b="1" l="0.75" r="0.75" t="1" header="0.5" footer="0.5"/>
    <c:pageSetup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2011 Combined Funds Expenditures by Function Area</a:t>
            </a:r>
          </a:p>
        </c:rich>
      </c:tx>
      <c:layout>
        <c:manualLayout>
          <c:xMode val="edge"/>
          <c:yMode val="edge"/>
          <c:x val="0.22056631892697467"/>
          <c:y val="3.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4128166915052"/>
          <c:y val="0.12259615384615384"/>
          <c:w val="0.87779433681073027"/>
          <c:h val="0.536057692307692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'2011 Q1 Combined'!$D$48</c:f>
              <c:strCache>
                <c:ptCount val="1"/>
                <c:pt idx="0">
                  <c:v>YTD Expenditures as of 1/15/11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Combined'!$A$49:$B$61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'2011 Q1 Combined'!$D$49:$D$61</c:f>
              <c:numCache>
                <c:formatCode>_("$"* #,##0_);_("$"* \(#,##0\);_("$"* "-"??_);_(@_)</c:formatCode>
                <c:ptCount val="13"/>
                <c:pt idx="0">
                  <c:v>56380</c:v>
                </c:pt>
                <c:pt idx="1">
                  <c:v>384668</c:v>
                </c:pt>
                <c:pt idx="2">
                  <c:v>2167233</c:v>
                </c:pt>
                <c:pt idx="3">
                  <c:v>409939</c:v>
                </c:pt>
                <c:pt idx="4">
                  <c:v>1935547</c:v>
                </c:pt>
                <c:pt idx="5">
                  <c:v>11519665</c:v>
                </c:pt>
                <c:pt idx="6">
                  <c:v>3407667</c:v>
                </c:pt>
                <c:pt idx="7">
                  <c:v>3285992</c:v>
                </c:pt>
                <c:pt idx="8">
                  <c:v>2195034</c:v>
                </c:pt>
                <c:pt idx="9">
                  <c:v>9204480</c:v>
                </c:pt>
                <c:pt idx="10">
                  <c:v>14281768</c:v>
                </c:pt>
                <c:pt idx="11">
                  <c:v>11149834</c:v>
                </c:pt>
                <c:pt idx="12">
                  <c:v>30143927</c:v>
                </c:pt>
              </c:numCache>
            </c:numRef>
          </c:val>
        </c:ser>
        <c:ser>
          <c:idx val="1"/>
          <c:order val="1"/>
          <c:tx>
            <c:strRef>
              <c:f>'2011 Q1 Combined'!$H$48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Combined'!$A$49:$B$61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'2011 Q1 Combined'!$H$49:$H$61</c:f>
              <c:numCache>
                <c:formatCode>#,##0</c:formatCode>
                <c:ptCount val="13"/>
                <c:pt idx="0" formatCode="&quot;$&quot;#,##0_);[Red]\(&quot;$&quot;#,##0\)">
                  <c:v>303050</c:v>
                </c:pt>
                <c:pt idx="1">
                  <c:v>750144</c:v>
                </c:pt>
                <c:pt idx="2">
                  <c:v>41320567</c:v>
                </c:pt>
                <c:pt idx="3">
                  <c:v>2482162</c:v>
                </c:pt>
                <c:pt idx="4">
                  <c:v>8650774</c:v>
                </c:pt>
                <c:pt idx="5">
                  <c:v>29659693</c:v>
                </c:pt>
                <c:pt idx="6">
                  <c:v>16084935</c:v>
                </c:pt>
                <c:pt idx="7">
                  <c:v>13831774</c:v>
                </c:pt>
                <c:pt idx="8">
                  <c:v>8700536</c:v>
                </c:pt>
                <c:pt idx="9">
                  <c:v>2387337</c:v>
                </c:pt>
                <c:pt idx="10">
                  <c:v>51067834</c:v>
                </c:pt>
                <c:pt idx="11">
                  <c:v>8539089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587904"/>
        <c:axId val="110589824"/>
      </c:barChart>
      <c:lineChart>
        <c:grouping val="stacked"/>
        <c:varyColors val="0"/>
        <c:ser>
          <c:idx val="2"/>
          <c:order val="2"/>
          <c:tx>
            <c:strRef>
              <c:f>'2011 Q1 Combined'!$G$48</c:f>
              <c:strCache>
                <c:ptCount val="1"/>
                <c:pt idx="0">
                  <c:v>25%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'2011 Q1 Combined'!$I$49:$I$61</c:f>
              <c:numCache>
                <c:formatCode>0%</c:formatCode>
                <c:ptCount val="13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587904"/>
        <c:axId val="110589824"/>
      </c:lineChart>
      <c:catAx>
        <c:axId val="11058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0589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589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0587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7570789865871831"/>
          <c:y val="0.92548076923076927"/>
          <c:w val="0.81073025335320414"/>
          <c:h val="0.978365384615384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'2011 Q1 Combined'!#REF!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Combined'!#REF!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Combined'!#REF!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'2011 Q1 Combined'!#REF!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Combined'!#REF!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Combined'!#REF!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'2011 Q1 Combined'!#REF!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Combined'!#REF!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Combined'!#REF!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611840"/>
        <c:axId val="110617728"/>
      </c:barChart>
      <c:catAx>
        <c:axId val="11061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617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617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6118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'2011 Q1 Combined'!#REF!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Combined'!#REF!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Combined'!#REF!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'2011 Q1 Combined'!#REF!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Combined'!#REF!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Combined'!#REF!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'2011 Q1 Combined'!#REF!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Combined'!#REF!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Combined'!#REF!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672512"/>
        <c:axId val="110682496"/>
      </c:barChart>
      <c:catAx>
        <c:axId val="1106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682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682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6725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'2011 Q1 Combined'!#REF!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Combined'!#REF!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Combined'!#REF!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'2011 Q1 Combined'!#REF!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Combined'!#REF!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Combined'!#REF!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'2011 Q1 Combined'!#REF!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Combined'!#REF!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Combined'!#REF!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917504"/>
        <c:axId val="110919040"/>
      </c:barChart>
      <c:catAx>
        <c:axId val="1109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919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0919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917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'2011 Q1 Combined'!#REF!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Combined'!#REF!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Combined'!#REF!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'2011 Q1 Combined'!#REF!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Combined'!#REF!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Combined'!#REF!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'2011 Q1 Combined'!#REF!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Combined'!#REF!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Combined'!#REF!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949504"/>
        <c:axId val="110951040"/>
      </c:barChart>
      <c:catAx>
        <c:axId val="11094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951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951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949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% of Combined Funds Revenue 
Collected 1st Quarter of Fiscal Year</a:t>
            </a:r>
          </a:p>
        </c:rich>
      </c:tx>
      <c:layout>
        <c:manualLayout>
          <c:xMode val="edge"/>
          <c:yMode val="edge"/>
          <c:x val="0.33284054729845158"/>
          <c:y val="3.3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'2011 Q1 Combined'!$M$16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'2011 Q1 Combined'!$M$17:$M$23</c:f>
              <c:numCache>
                <c:formatCode>0.00%</c:formatCode>
                <c:ptCount val="7"/>
                <c:pt idx="0">
                  <c:v>0.56773699514911358</c:v>
                </c:pt>
                <c:pt idx="1">
                  <c:v>0.33139837398373984</c:v>
                </c:pt>
                <c:pt idx="2">
                  <c:v>0.51810161415346367</c:v>
                </c:pt>
                <c:pt idx="3">
                  <c:v>0.17874090792223093</c:v>
                </c:pt>
                <c:pt idx="4">
                  <c:v>0.17612349239643418</c:v>
                </c:pt>
                <c:pt idx="5">
                  <c:v>0.42343437412162183</c:v>
                </c:pt>
                <c:pt idx="6">
                  <c:v>1.0407203762646047</c:v>
                </c:pt>
              </c:numCache>
            </c:numRef>
          </c:val>
        </c:ser>
        <c:ser>
          <c:idx val="0"/>
          <c:order val="1"/>
          <c:tx>
            <c:strRef>
              <c:f>'2011 Q1 Combined'!$P$16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Combined'!$J$17:$J$23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'2011 Q1 Combined'!$P$17:$P$23</c:f>
              <c:numCache>
                <c:formatCode>0.00%</c:formatCode>
                <c:ptCount val="7"/>
                <c:pt idx="0">
                  <c:v>0.538797217152582</c:v>
                </c:pt>
                <c:pt idx="1">
                  <c:v>0.2262352093469186</c:v>
                </c:pt>
                <c:pt idx="2">
                  <c:v>0.21588511252505907</c:v>
                </c:pt>
                <c:pt idx="3">
                  <c:v>0.17723481388149148</c:v>
                </c:pt>
                <c:pt idx="4">
                  <c:v>0.19658854423322727</c:v>
                </c:pt>
                <c:pt idx="5">
                  <c:v>0.1180229456757594</c:v>
                </c:pt>
                <c:pt idx="6">
                  <c:v>6.5488387429341349E-2</c:v>
                </c:pt>
              </c:numCache>
            </c:numRef>
          </c:val>
        </c:ser>
        <c:ser>
          <c:idx val="1"/>
          <c:order val="2"/>
          <c:tx>
            <c:strRef>
              <c:f>'2011 Q1 Combined'!$T$16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Q1 Combined'!$T$17:$T$23</c:f>
              <c:numCache>
                <c:formatCode>0.00%</c:formatCode>
                <c:ptCount val="7"/>
                <c:pt idx="0">
                  <c:v>0.4438247173556783</c:v>
                </c:pt>
                <c:pt idx="1">
                  <c:v>0.28703563438197394</c:v>
                </c:pt>
                <c:pt idx="2">
                  <c:v>0.27938785372320879</c:v>
                </c:pt>
                <c:pt idx="3">
                  <c:v>0.16606950030758991</c:v>
                </c:pt>
                <c:pt idx="4">
                  <c:v>0.22863881822800869</c:v>
                </c:pt>
                <c:pt idx="5">
                  <c:v>0.27564748894515623</c:v>
                </c:pt>
                <c:pt idx="6">
                  <c:v>3.3425524360155785E-2</c:v>
                </c:pt>
              </c:numCache>
            </c:numRef>
          </c:val>
        </c:ser>
        <c:ser>
          <c:idx val="2"/>
          <c:order val="3"/>
          <c:tx>
            <c:strRef>
              <c:f>'2011 Q1 Combined'!$X$16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Q1 Combined'!$X$17:$X$23</c:f>
              <c:numCache>
                <c:formatCode>0.00%</c:formatCode>
                <c:ptCount val="7"/>
                <c:pt idx="0">
                  <c:v>0.44888388636590876</c:v>
                </c:pt>
                <c:pt idx="1">
                  <c:v>0.230541375586023</c:v>
                </c:pt>
                <c:pt idx="2">
                  <c:v>0.26380742966385262</c:v>
                </c:pt>
                <c:pt idx="3">
                  <c:v>0.1708498650546319</c:v>
                </c:pt>
                <c:pt idx="4">
                  <c:v>0.15801757909709502</c:v>
                </c:pt>
                <c:pt idx="5">
                  <c:v>0.25795314934228969</c:v>
                </c:pt>
                <c:pt idx="6">
                  <c:v>3.4541043462175604E-2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982272"/>
        <c:axId val="110983808"/>
      </c:barChart>
      <c:catAx>
        <c:axId val="11098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0983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98380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09822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751510351146932"/>
          <c:y val="0.91525690644601632"/>
          <c:w val="0.64878364316886417"/>
          <c:h val="0.9700538280172605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% of Combined Funds Expenditures 
Spent 1st Quarter of Fiscal Year</a:t>
            </a:r>
          </a:p>
        </c:rich>
      </c:tx>
      <c:layout>
        <c:manualLayout>
          <c:xMode val="edge"/>
          <c:yMode val="edge"/>
          <c:x val="0.31722054380664655"/>
          <c:y val="3.0092592592592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288E-2"/>
          <c:y val="0.20370416418946261"/>
          <c:w val="0.88821752265861031"/>
          <c:h val="0.51389005056887149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'2011 Q1 Combined'!$M$48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'2011 Q1 Combined'!$M$49:$M$61</c:f>
              <c:numCache>
                <c:formatCode>0.00%</c:formatCode>
                <c:ptCount val="13"/>
                <c:pt idx="0">
                  <c:v>0.15685947194168545</c:v>
                </c:pt>
                <c:pt idx="1">
                  <c:v>0.33897068413093973</c:v>
                </c:pt>
                <c:pt idx="2">
                  <c:v>4.9835425107731361E-2</c:v>
                </c:pt>
                <c:pt idx="3">
                  <c:v>0.14174435816729775</c:v>
                </c:pt>
                <c:pt idx="4">
                  <c:v>0.18283471661212616</c:v>
                </c:pt>
                <c:pt idx="5">
                  <c:v>0.27974367643128384</c:v>
                </c:pt>
                <c:pt idx="6">
                  <c:v>0.17481847728692146</c:v>
                </c:pt>
                <c:pt idx="7">
                  <c:v>0.19196383453308102</c:v>
                </c:pt>
                <c:pt idx="8">
                  <c:v>0.20146114429993106</c:v>
                </c:pt>
                <c:pt idx="9">
                  <c:v>0.79404980254605473</c:v>
                </c:pt>
                <c:pt idx="10">
                  <c:v>0.21854407009242383</c:v>
                </c:pt>
                <c:pt idx="11">
                  <c:v>0.56629984281009171</c:v>
                </c:pt>
                <c:pt idx="12">
                  <c:v>1.070829215079645</c:v>
                </c:pt>
              </c:numCache>
            </c:numRef>
          </c:val>
        </c:ser>
        <c:ser>
          <c:idx val="0"/>
          <c:order val="1"/>
          <c:tx>
            <c:strRef>
              <c:f>'2011 Q1 Combined'!$Q$48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Combined'!$J$49:$J$61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'2011 Q1 Combined'!$Q$49:$Q$61</c:f>
              <c:numCache>
                <c:formatCode>0.00%</c:formatCode>
                <c:ptCount val="13"/>
                <c:pt idx="0">
                  <c:v>0.17885935168859352</c:v>
                </c:pt>
                <c:pt idx="1">
                  <c:v>0.48672401424389994</c:v>
                </c:pt>
                <c:pt idx="2">
                  <c:v>6.7227773525337375E-3</c:v>
                </c:pt>
                <c:pt idx="3">
                  <c:v>0.16147719535222652</c:v>
                </c:pt>
                <c:pt idx="4">
                  <c:v>0.21334383571474172</c:v>
                </c:pt>
                <c:pt idx="5">
                  <c:v>0.23759677059214904</c:v>
                </c:pt>
                <c:pt idx="6">
                  <c:v>0.22396437304812192</c:v>
                </c:pt>
                <c:pt idx="7">
                  <c:v>0.20160658160761358</c:v>
                </c:pt>
                <c:pt idx="8">
                  <c:v>0.23231921225164437</c:v>
                </c:pt>
                <c:pt idx="9">
                  <c:v>0.16476968046433729</c:v>
                </c:pt>
                <c:pt idx="10">
                  <c:v>0.22924711197768083</c:v>
                </c:pt>
                <c:pt idx="11">
                  <c:v>0.30737404413176966</c:v>
                </c:pt>
                <c:pt idx="12">
                  <c:v>0.10016278452219123</c:v>
                </c:pt>
              </c:numCache>
            </c:numRef>
          </c:val>
        </c:ser>
        <c:ser>
          <c:idx val="1"/>
          <c:order val="2"/>
          <c:tx>
            <c:strRef>
              <c:f>'2011 Q1 Combined'!$U$48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Q1 Combined'!$U$49:$U$61</c:f>
              <c:numCache>
                <c:formatCode>0.00%</c:formatCode>
                <c:ptCount val="13"/>
                <c:pt idx="0">
                  <c:v>0.18621895173904388</c:v>
                </c:pt>
                <c:pt idx="1">
                  <c:v>0.26377310166884432</c:v>
                </c:pt>
                <c:pt idx="2">
                  <c:v>2.3370193113514544E-5</c:v>
                </c:pt>
                <c:pt idx="3">
                  <c:v>0.12298868548639791</c:v>
                </c:pt>
                <c:pt idx="4">
                  <c:v>0.13145364818582114</c:v>
                </c:pt>
                <c:pt idx="5">
                  <c:v>0.15158724931404988</c:v>
                </c:pt>
                <c:pt idx="6">
                  <c:v>0.20937555608539146</c:v>
                </c:pt>
                <c:pt idx="7">
                  <c:v>0.16918347907346296</c:v>
                </c:pt>
                <c:pt idx="8">
                  <c:v>0.17531725519226149</c:v>
                </c:pt>
                <c:pt idx="9">
                  <c:v>0.35015069595134835</c:v>
                </c:pt>
                <c:pt idx="10">
                  <c:v>0.18191083981221687</c:v>
                </c:pt>
                <c:pt idx="11">
                  <c:v>0.581918398179056</c:v>
                </c:pt>
                <c:pt idx="12">
                  <c:v>0.20271788120429882</c:v>
                </c:pt>
              </c:numCache>
            </c:numRef>
          </c:val>
        </c:ser>
        <c:ser>
          <c:idx val="2"/>
          <c:order val="3"/>
          <c:tx>
            <c:strRef>
              <c:f>'2011 Q1 Combined'!$AA$48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Q1 Combined'!$AA$49:$AA$61</c:f>
              <c:numCache>
                <c:formatCode>0.00%</c:formatCode>
                <c:ptCount val="13"/>
                <c:pt idx="0">
                  <c:v>0.14140862111338268</c:v>
                </c:pt>
                <c:pt idx="1">
                  <c:v>0.35544762621136977</c:v>
                </c:pt>
                <c:pt idx="2">
                  <c:v>7.5588280913868364E-6</c:v>
                </c:pt>
                <c:pt idx="3">
                  <c:v>0.1889051024999846</c:v>
                </c:pt>
                <c:pt idx="4">
                  <c:v>0.17552326912867858</c:v>
                </c:pt>
                <c:pt idx="5">
                  <c:v>0.12919264462667196</c:v>
                </c:pt>
                <c:pt idx="6">
                  <c:v>0.14077625912247022</c:v>
                </c:pt>
                <c:pt idx="7">
                  <c:v>0.16125458277914551</c:v>
                </c:pt>
                <c:pt idx="8">
                  <c:v>0.16942803488678784</c:v>
                </c:pt>
                <c:pt idx="9">
                  <c:v>0.26497396978451038</c:v>
                </c:pt>
                <c:pt idx="10">
                  <c:v>0.19580750640630626</c:v>
                </c:pt>
                <c:pt idx="11">
                  <c:v>0.4131419420886443</c:v>
                </c:pt>
                <c:pt idx="12">
                  <c:v>0.16825053666334086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071808"/>
        <c:axId val="112073344"/>
      </c:barChart>
      <c:catAx>
        <c:axId val="11207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2073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07334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2071808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519637462235651"/>
          <c:y val="0.93287255759696708"/>
          <c:w val="0.60536273600241064"/>
          <c:h val="0.9771033829104696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2010 Combined Funds Revenue by Source</a:t>
            </a:r>
          </a:p>
        </c:rich>
      </c:tx>
      <c:layout>
        <c:manualLayout>
          <c:xMode val="edge"/>
          <c:yMode val="edge"/>
          <c:x val="0.27421758569299554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23E-2"/>
          <c:w val="0.87928464977645282"/>
          <c:h val="0.7323953735631794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'2010 Q2 Combined'!$D$16</c:f>
              <c:strCache>
                <c:ptCount val="1"/>
                <c:pt idx="0">
                  <c:v>YTD Collections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'2010 Q2 Combined'!$D$17:$D$23</c:f>
              <c:numCache>
                <c:formatCode>_(* #,##0_);_(* \(#,##0\);_(* "-"??_);_(@_)</c:formatCode>
                <c:ptCount val="7"/>
                <c:pt idx="0" formatCode="&quot;$&quot;#,##0_);[Red]\(&quot;$&quot;#,##0\)">
                  <c:v>170151643.09999999</c:v>
                </c:pt>
                <c:pt idx="1">
                  <c:v>139009</c:v>
                </c:pt>
                <c:pt idx="2">
                  <c:v>5884221.2199999997</c:v>
                </c:pt>
                <c:pt idx="3">
                  <c:v>17625387.649999999</c:v>
                </c:pt>
                <c:pt idx="4">
                  <c:v>1700946.93</c:v>
                </c:pt>
                <c:pt idx="5">
                  <c:v>2195838.4699999997</c:v>
                </c:pt>
                <c:pt idx="6">
                  <c:v>25995831.740000002</c:v>
                </c:pt>
              </c:numCache>
            </c:numRef>
          </c:val>
        </c:ser>
        <c:ser>
          <c:idx val="1"/>
          <c:order val="1"/>
          <c:tx>
            <c:strRef>
              <c:f>'2010 Q2 Combined'!$H$16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'2010 Q2 Combined'!$H$17:$H$23</c:f>
              <c:numCache>
                <c:formatCode>"$"#,##0_);[Red]\("$"#,##0\)</c:formatCode>
                <c:ptCount val="7"/>
                <c:pt idx="0">
                  <c:v>5787862.900000006</c:v>
                </c:pt>
                <c:pt idx="1">
                  <c:v>196845</c:v>
                </c:pt>
                <c:pt idx="2" formatCode="#,##0_);[Red]\(#,##0\)">
                  <c:v>4879336.78</c:v>
                </c:pt>
                <c:pt idx="3" formatCode="#,##0_);[Red]\(#,##0\)">
                  <c:v>22725838.350000001</c:v>
                </c:pt>
                <c:pt idx="4" formatCode="#,##0_);[Red]\(#,##0\)">
                  <c:v>2895428.0700000003</c:v>
                </c:pt>
                <c:pt idx="5" formatCode="#,##0_);[Red]\(#,##0\)">
                  <c:v>6410227.5300000003</c:v>
                </c:pt>
                <c:pt idx="6" formatCode="#,##0_);[Red]\(#,##0\)">
                  <c:v>3813330.2599999979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161536"/>
        <c:axId val="112163456"/>
      </c:barChart>
      <c:lineChart>
        <c:grouping val="stacked"/>
        <c:varyColors val="0"/>
        <c:ser>
          <c:idx val="2"/>
          <c:order val="2"/>
          <c:tx>
            <c:strRef>
              <c:f>'2010 Q2 Combined'!$I$16</c:f>
              <c:strCache>
                <c:ptCount val="1"/>
                <c:pt idx="0">
                  <c:v>50%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'2010 Q2 Combined'!$I$17:$I$23</c:f>
              <c:numCache>
                <c:formatCode>0%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61536"/>
        <c:axId val="112163456"/>
      </c:lineChart>
      <c:catAx>
        <c:axId val="11216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2163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63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2161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9061102831594637"/>
          <c:y val="0.93239554914790579"/>
          <c:w val="0.7704918032786886"/>
          <c:h val="0.9915504787253706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2010 Combined Funds Expenditures by Function Area</a:t>
            </a:r>
          </a:p>
        </c:rich>
      </c:tx>
      <c:layout>
        <c:manualLayout>
          <c:xMode val="edge"/>
          <c:yMode val="edge"/>
          <c:x val="0.22056631892697467"/>
          <c:y val="3.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4128166915052"/>
          <c:y val="0.12259615384615392"/>
          <c:w val="0.87779433681073071"/>
          <c:h val="0.5360576923076925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'2010 Q2 Combined'!$D$48</c:f>
              <c:strCache>
                <c:ptCount val="1"/>
                <c:pt idx="0">
                  <c:v>YTD Expenditures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Combined'!$A$49:$B$61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'2010 Q2 Combined'!$D$49:$D$61</c:f>
              <c:numCache>
                <c:formatCode>_(* #,##0_);_(* \(#,##0\);_(* "-"??_);_(@_)</c:formatCode>
                <c:ptCount val="13"/>
                <c:pt idx="0" formatCode="&quot;$&quot;#,##0_);[Red]\(&quot;$&quot;#,##0\)">
                  <c:v>147348.93</c:v>
                </c:pt>
                <c:pt idx="1">
                  <c:v>1525134.47</c:v>
                </c:pt>
                <c:pt idx="2">
                  <c:v>35053226.109999999</c:v>
                </c:pt>
                <c:pt idx="3">
                  <c:v>1757717.35</c:v>
                </c:pt>
                <c:pt idx="4">
                  <c:v>5580579.9500000002</c:v>
                </c:pt>
                <c:pt idx="5">
                  <c:v>17620089.010000002</c:v>
                </c:pt>
                <c:pt idx="6">
                  <c:v>9665369.1099999994</c:v>
                </c:pt>
                <c:pt idx="7">
                  <c:v>8874392.9399999995</c:v>
                </c:pt>
                <c:pt idx="8">
                  <c:v>5789049.0099999998</c:v>
                </c:pt>
                <c:pt idx="9">
                  <c:v>7489826.7000000002</c:v>
                </c:pt>
                <c:pt idx="10">
                  <c:v>35211365.259999998</c:v>
                </c:pt>
                <c:pt idx="11">
                  <c:v>33195586.399999999</c:v>
                </c:pt>
                <c:pt idx="12">
                  <c:v>18116148.25</c:v>
                </c:pt>
              </c:numCache>
            </c:numRef>
          </c:val>
        </c:ser>
        <c:ser>
          <c:idx val="1"/>
          <c:order val="1"/>
          <c:tx>
            <c:strRef>
              <c:f>'2010 Q2 Combined'!$H$48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Combined'!$A$49:$B$61</c:f>
              <c:strCache>
                <c:ptCount val="13"/>
                <c:pt idx="0">
                  <c:v>Conservation</c:v>
                </c:pt>
                <c:pt idx="1">
                  <c:v>Culture And Recreation</c:v>
                </c:pt>
                <c:pt idx="2">
                  <c:v>Debt Service</c:v>
                </c:pt>
                <c:pt idx="3">
                  <c:v>Equipment Services</c:v>
                </c:pt>
                <c:pt idx="4">
                  <c:v>Financial Administration</c:v>
                </c:pt>
                <c:pt idx="5">
                  <c:v>General Administration</c:v>
                </c:pt>
                <c:pt idx="6">
                  <c:v>Health And Welfare</c:v>
                </c:pt>
                <c:pt idx="7">
                  <c:v>Judicial</c:v>
                </c:pt>
                <c:pt idx="8">
                  <c:v>Legal</c:v>
                </c:pt>
                <c:pt idx="9">
                  <c:v>Public Facilities</c:v>
                </c:pt>
                <c:pt idx="10">
                  <c:v>Public Safety</c:v>
                </c:pt>
                <c:pt idx="11">
                  <c:v>Public Transportation</c:v>
                </c:pt>
                <c:pt idx="12">
                  <c:v>Transfers</c:v>
                </c:pt>
              </c:strCache>
            </c:strRef>
          </c:cat>
          <c:val>
            <c:numRef>
              <c:f>'2010 Q2 Combined'!$H$49:$H$61</c:f>
              <c:numCache>
                <c:formatCode>#,##0</c:formatCode>
                <c:ptCount val="13"/>
                <c:pt idx="0" formatCode="&quot;$&quot;#,##0_);[Red]\(&quot;$&quot;#,##0\)">
                  <c:v>199182.07</c:v>
                </c:pt>
                <c:pt idx="1">
                  <c:v>0</c:v>
                </c:pt>
                <c:pt idx="2">
                  <c:v>8611896.8900000006</c:v>
                </c:pt>
                <c:pt idx="3">
                  <c:v>1505608.65</c:v>
                </c:pt>
                <c:pt idx="4">
                  <c:v>5023999.05</c:v>
                </c:pt>
                <c:pt idx="5">
                  <c:v>23094371.989999998</c:v>
                </c:pt>
                <c:pt idx="6">
                  <c:v>7738701.8900000006</c:v>
                </c:pt>
                <c:pt idx="7">
                  <c:v>8538921.0600000005</c:v>
                </c:pt>
                <c:pt idx="8">
                  <c:v>4986777.99</c:v>
                </c:pt>
                <c:pt idx="9">
                  <c:v>5924732.2999999998</c:v>
                </c:pt>
                <c:pt idx="10">
                  <c:v>30333401.740000002</c:v>
                </c:pt>
                <c:pt idx="11">
                  <c:v>0</c:v>
                </c:pt>
                <c:pt idx="12">
                  <c:v>8493199.75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333184"/>
        <c:axId val="112335104"/>
      </c:barChart>
      <c:lineChart>
        <c:grouping val="stacked"/>
        <c:varyColors val="0"/>
        <c:ser>
          <c:idx val="2"/>
          <c:order val="2"/>
          <c:tx>
            <c:strRef>
              <c:f>'2010 Q2 Combined'!$G$48</c:f>
              <c:strCache>
                <c:ptCount val="1"/>
                <c:pt idx="0">
                  <c:v>50%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'2010 Q2 Combined'!$I$49:$I$61</c:f>
              <c:numCache>
                <c:formatCode>0%</c:formatCode>
                <c:ptCount val="13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33184"/>
        <c:axId val="112335104"/>
      </c:lineChart>
      <c:catAx>
        <c:axId val="11233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2335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335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23331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7570789865871831"/>
          <c:y val="0.92548076923076927"/>
          <c:w val="0.81073025335320414"/>
          <c:h val="0.978365384615384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369664"/>
        <c:axId val="112371200"/>
      </c:barChart>
      <c:catAx>
        <c:axId val="11236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371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371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3696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9.xml"/><Relationship Id="rId3" Type="http://schemas.openxmlformats.org/officeDocument/2006/relationships/chart" Target="../charts/chart74.xml"/><Relationship Id="rId7" Type="http://schemas.openxmlformats.org/officeDocument/2006/relationships/chart" Target="../charts/chart78.xml"/><Relationship Id="rId2" Type="http://schemas.openxmlformats.org/officeDocument/2006/relationships/chart" Target="../charts/chart73.xml"/><Relationship Id="rId1" Type="http://schemas.openxmlformats.org/officeDocument/2006/relationships/image" Target="../media/image1.png"/><Relationship Id="rId6" Type="http://schemas.openxmlformats.org/officeDocument/2006/relationships/chart" Target="../charts/chart77.xml"/><Relationship Id="rId5" Type="http://schemas.openxmlformats.org/officeDocument/2006/relationships/chart" Target="../charts/chart76.xml"/><Relationship Id="rId4" Type="http://schemas.openxmlformats.org/officeDocument/2006/relationships/chart" Target="../charts/chart75.xml"/><Relationship Id="rId9" Type="http://schemas.openxmlformats.org/officeDocument/2006/relationships/chart" Target="../charts/chart80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7.xml"/><Relationship Id="rId3" Type="http://schemas.openxmlformats.org/officeDocument/2006/relationships/chart" Target="../charts/chart82.xml"/><Relationship Id="rId7" Type="http://schemas.openxmlformats.org/officeDocument/2006/relationships/chart" Target="../charts/chart86.xml"/><Relationship Id="rId2" Type="http://schemas.openxmlformats.org/officeDocument/2006/relationships/chart" Target="../charts/chart81.xml"/><Relationship Id="rId1" Type="http://schemas.openxmlformats.org/officeDocument/2006/relationships/image" Target="../media/image1.png"/><Relationship Id="rId6" Type="http://schemas.openxmlformats.org/officeDocument/2006/relationships/chart" Target="../charts/chart85.xml"/><Relationship Id="rId5" Type="http://schemas.openxmlformats.org/officeDocument/2006/relationships/chart" Target="../charts/chart84.xml"/><Relationship Id="rId4" Type="http://schemas.openxmlformats.org/officeDocument/2006/relationships/chart" Target="../charts/chart83.xml"/><Relationship Id="rId9" Type="http://schemas.openxmlformats.org/officeDocument/2006/relationships/chart" Target="../charts/chart88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5.xml"/><Relationship Id="rId3" Type="http://schemas.openxmlformats.org/officeDocument/2006/relationships/chart" Target="../charts/chart90.xml"/><Relationship Id="rId7" Type="http://schemas.openxmlformats.org/officeDocument/2006/relationships/chart" Target="../charts/chart94.xml"/><Relationship Id="rId2" Type="http://schemas.openxmlformats.org/officeDocument/2006/relationships/chart" Target="../charts/chart89.xml"/><Relationship Id="rId1" Type="http://schemas.openxmlformats.org/officeDocument/2006/relationships/image" Target="../media/image1.png"/><Relationship Id="rId6" Type="http://schemas.openxmlformats.org/officeDocument/2006/relationships/chart" Target="../charts/chart93.xml"/><Relationship Id="rId5" Type="http://schemas.openxmlformats.org/officeDocument/2006/relationships/chart" Target="../charts/chart92.xml"/><Relationship Id="rId4" Type="http://schemas.openxmlformats.org/officeDocument/2006/relationships/chart" Target="../charts/chart91.xml"/><Relationship Id="rId9" Type="http://schemas.openxmlformats.org/officeDocument/2006/relationships/chart" Target="../charts/chart96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3.xml"/><Relationship Id="rId3" Type="http://schemas.openxmlformats.org/officeDocument/2006/relationships/chart" Target="../charts/chart98.xml"/><Relationship Id="rId7" Type="http://schemas.openxmlformats.org/officeDocument/2006/relationships/chart" Target="../charts/chart102.xml"/><Relationship Id="rId2" Type="http://schemas.openxmlformats.org/officeDocument/2006/relationships/chart" Target="../charts/chart97.xml"/><Relationship Id="rId1" Type="http://schemas.openxmlformats.org/officeDocument/2006/relationships/image" Target="../media/image1.png"/><Relationship Id="rId6" Type="http://schemas.openxmlformats.org/officeDocument/2006/relationships/chart" Target="../charts/chart101.xml"/><Relationship Id="rId5" Type="http://schemas.openxmlformats.org/officeDocument/2006/relationships/chart" Target="../charts/chart100.xml"/><Relationship Id="rId4" Type="http://schemas.openxmlformats.org/officeDocument/2006/relationships/chart" Target="../charts/chart99.xml"/><Relationship Id="rId9" Type="http://schemas.openxmlformats.org/officeDocument/2006/relationships/chart" Target="../charts/chart104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1.xml"/><Relationship Id="rId3" Type="http://schemas.openxmlformats.org/officeDocument/2006/relationships/chart" Target="../charts/chart106.xml"/><Relationship Id="rId7" Type="http://schemas.openxmlformats.org/officeDocument/2006/relationships/chart" Target="../charts/chart110.xml"/><Relationship Id="rId2" Type="http://schemas.openxmlformats.org/officeDocument/2006/relationships/chart" Target="../charts/chart105.xml"/><Relationship Id="rId1" Type="http://schemas.openxmlformats.org/officeDocument/2006/relationships/image" Target="../media/image2.png"/><Relationship Id="rId6" Type="http://schemas.openxmlformats.org/officeDocument/2006/relationships/chart" Target="../charts/chart109.xml"/><Relationship Id="rId5" Type="http://schemas.openxmlformats.org/officeDocument/2006/relationships/chart" Target="../charts/chart108.xml"/><Relationship Id="rId4" Type="http://schemas.openxmlformats.org/officeDocument/2006/relationships/chart" Target="../charts/chart107.xml"/><Relationship Id="rId9" Type="http://schemas.openxmlformats.org/officeDocument/2006/relationships/chart" Target="../charts/chart112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9.xml"/><Relationship Id="rId3" Type="http://schemas.openxmlformats.org/officeDocument/2006/relationships/chart" Target="../charts/chart114.xml"/><Relationship Id="rId7" Type="http://schemas.openxmlformats.org/officeDocument/2006/relationships/chart" Target="../charts/chart118.xml"/><Relationship Id="rId2" Type="http://schemas.openxmlformats.org/officeDocument/2006/relationships/chart" Target="../charts/chart113.xml"/><Relationship Id="rId1" Type="http://schemas.openxmlformats.org/officeDocument/2006/relationships/image" Target="../media/image2.png"/><Relationship Id="rId6" Type="http://schemas.openxmlformats.org/officeDocument/2006/relationships/chart" Target="../charts/chart117.xml"/><Relationship Id="rId5" Type="http://schemas.openxmlformats.org/officeDocument/2006/relationships/chart" Target="../charts/chart116.xml"/><Relationship Id="rId4" Type="http://schemas.openxmlformats.org/officeDocument/2006/relationships/chart" Target="../charts/chart115.xml"/><Relationship Id="rId9" Type="http://schemas.openxmlformats.org/officeDocument/2006/relationships/chart" Target="../charts/chart12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Relationship Id="rId9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1.xml"/><Relationship Id="rId3" Type="http://schemas.openxmlformats.org/officeDocument/2006/relationships/chart" Target="../charts/chart26.xml"/><Relationship Id="rId7" Type="http://schemas.openxmlformats.org/officeDocument/2006/relationships/chart" Target="../charts/chart30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6" Type="http://schemas.openxmlformats.org/officeDocument/2006/relationships/chart" Target="../charts/chart29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Relationship Id="rId9" Type="http://schemas.openxmlformats.org/officeDocument/2006/relationships/chart" Target="../charts/chart3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2.xml"/><Relationship Id="rId7" Type="http://schemas.openxmlformats.org/officeDocument/2006/relationships/chart" Target="../charts/chart46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Relationship Id="rId9" Type="http://schemas.openxmlformats.org/officeDocument/2006/relationships/chart" Target="../charts/chart48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5.xml"/><Relationship Id="rId3" Type="http://schemas.openxmlformats.org/officeDocument/2006/relationships/chart" Target="../charts/chart50.xml"/><Relationship Id="rId7" Type="http://schemas.openxmlformats.org/officeDocument/2006/relationships/chart" Target="../charts/chart54.xml"/><Relationship Id="rId2" Type="http://schemas.openxmlformats.org/officeDocument/2006/relationships/chart" Target="../charts/chart49.xml"/><Relationship Id="rId1" Type="http://schemas.openxmlformats.org/officeDocument/2006/relationships/image" Target="../media/image1.png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Relationship Id="rId9" Type="http://schemas.openxmlformats.org/officeDocument/2006/relationships/chart" Target="../charts/chart5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openxmlformats.org/officeDocument/2006/relationships/chart" Target="../charts/chart57.xml"/><Relationship Id="rId1" Type="http://schemas.openxmlformats.org/officeDocument/2006/relationships/image" Target="../media/image1.png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Relationship Id="rId9" Type="http://schemas.openxmlformats.org/officeDocument/2006/relationships/chart" Target="../charts/chart64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2" Type="http://schemas.openxmlformats.org/officeDocument/2006/relationships/chart" Target="../charts/chart65.xml"/><Relationship Id="rId1" Type="http://schemas.openxmlformats.org/officeDocument/2006/relationships/image" Target="../media/image1.png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Relationship Id="rId9" Type="http://schemas.openxmlformats.org/officeDocument/2006/relationships/chart" Target="../charts/chart7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2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90</xdr:row>
      <xdr:rowOff>47625</xdr:rowOff>
    </xdr:from>
    <xdr:to>
      <xdr:col>5</xdr:col>
      <xdr:colOff>1419225</xdr:colOff>
      <xdr:row>111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47626</xdr:colOff>
      <xdr:row>113</xdr:row>
      <xdr:rowOff>85725</xdr:rowOff>
    </xdr:from>
    <xdr:to>
      <xdr:col>5</xdr:col>
      <xdr:colOff>1333500</xdr:colOff>
      <xdr:row>136</xdr:row>
      <xdr:rowOff>47625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5</xdr:col>
      <xdr:colOff>1447800</xdr:colOff>
      <xdr:row>89</xdr:row>
      <xdr:rowOff>0</xdr:rowOff>
    </xdr:to>
    <xdr:graphicFrame macro="">
      <xdr:nvGraphicFramePr>
        <xdr:cNvPr id="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9525</xdr:colOff>
      <xdr:row>89</xdr:row>
      <xdr:rowOff>0</xdr:rowOff>
    </xdr:to>
    <xdr:graphicFrame macro="">
      <xdr:nvGraphicFramePr>
        <xdr:cNvPr id="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0</xdr:colOff>
      <xdr:row>89</xdr:row>
      <xdr:rowOff>0</xdr:rowOff>
    </xdr:to>
    <xdr:graphicFrame macro="">
      <xdr:nvGraphicFramePr>
        <xdr:cNvPr id="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19050</xdr:colOff>
      <xdr:row>89</xdr:row>
      <xdr:rowOff>0</xdr:rowOff>
    </xdr:to>
    <xdr:graphicFrame macro="">
      <xdr:nvGraphicFramePr>
        <xdr:cNvPr id="8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24</xdr:row>
      <xdr:rowOff>123825</xdr:rowOff>
    </xdr:from>
    <xdr:to>
      <xdr:col>5</xdr:col>
      <xdr:colOff>1438275</xdr:colOff>
      <xdr:row>44</xdr:row>
      <xdr:rowOff>133350</xdr:rowOff>
    </xdr:to>
    <xdr:graphicFrame macro="">
      <xdr:nvGraphicFramePr>
        <xdr:cNvPr id="9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63</xdr:row>
      <xdr:rowOff>0</xdr:rowOff>
    </xdr:from>
    <xdr:to>
      <xdr:col>5</xdr:col>
      <xdr:colOff>1343025</xdr:colOff>
      <xdr:row>86</xdr:row>
      <xdr:rowOff>180975</xdr:rowOff>
    </xdr:to>
    <xdr:graphicFrame macro="">
      <xdr:nvGraphicFramePr>
        <xdr:cNvPr id="10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28575</xdr:rowOff>
    </xdr:from>
    <xdr:to>
      <xdr:col>1</xdr:col>
      <xdr:colOff>600075</xdr:colOff>
      <xdr:row>4</xdr:row>
      <xdr:rowOff>171450</xdr:rowOff>
    </xdr:to>
    <xdr:pic>
      <xdr:nvPicPr>
        <xdr:cNvPr id="1721858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90</xdr:row>
      <xdr:rowOff>47625</xdr:rowOff>
    </xdr:from>
    <xdr:to>
      <xdr:col>5</xdr:col>
      <xdr:colOff>1419225</xdr:colOff>
      <xdr:row>111</xdr:row>
      <xdr:rowOff>28575</xdr:rowOff>
    </xdr:to>
    <xdr:graphicFrame macro="">
      <xdr:nvGraphicFramePr>
        <xdr:cNvPr id="17218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113</xdr:row>
      <xdr:rowOff>85725</xdr:rowOff>
    </xdr:from>
    <xdr:to>
      <xdr:col>5</xdr:col>
      <xdr:colOff>1419225</xdr:colOff>
      <xdr:row>138</xdr:row>
      <xdr:rowOff>0</xdr:rowOff>
    </xdr:to>
    <xdr:graphicFrame macro="">
      <xdr:nvGraphicFramePr>
        <xdr:cNvPr id="172186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5</xdr:col>
      <xdr:colOff>1447800</xdr:colOff>
      <xdr:row>89</xdr:row>
      <xdr:rowOff>0</xdr:rowOff>
    </xdr:to>
    <xdr:graphicFrame macro="">
      <xdr:nvGraphicFramePr>
        <xdr:cNvPr id="172186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9525</xdr:colOff>
      <xdr:row>89</xdr:row>
      <xdr:rowOff>0</xdr:rowOff>
    </xdr:to>
    <xdr:graphicFrame macro="">
      <xdr:nvGraphicFramePr>
        <xdr:cNvPr id="172186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0</xdr:colOff>
      <xdr:row>89</xdr:row>
      <xdr:rowOff>0</xdr:rowOff>
    </xdr:to>
    <xdr:graphicFrame macro="">
      <xdr:nvGraphicFramePr>
        <xdr:cNvPr id="1721863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19050</xdr:colOff>
      <xdr:row>89</xdr:row>
      <xdr:rowOff>0</xdr:rowOff>
    </xdr:to>
    <xdr:graphicFrame macro="">
      <xdr:nvGraphicFramePr>
        <xdr:cNvPr id="1721864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24</xdr:row>
      <xdr:rowOff>123825</xdr:rowOff>
    </xdr:from>
    <xdr:to>
      <xdr:col>5</xdr:col>
      <xdr:colOff>1438275</xdr:colOff>
      <xdr:row>44</xdr:row>
      <xdr:rowOff>133350</xdr:rowOff>
    </xdr:to>
    <xdr:graphicFrame macro="">
      <xdr:nvGraphicFramePr>
        <xdr:cNvPr id="1721865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62</xdr:row>
      <xdr:rowOff>333375</xdr:rowOff>
    </xdr:from>
    <xdr:to>
      <xdr:col>5</xdr:col>
      <xdr:colOff>1352550</xdr:colOff>
      <xdr:row>89</xdr:row>
      <xdr:rowOff>28575</xdr:rowOff>
    </xdr:to>
    <xdr:graphicFrame macro="">
      <xdr:nvGraphicFramePr>
        <xdr:cNvPr id="1721866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28575</xdr:rowOff>
    </xdr:from>
    <xdr:to>
      <xdr:col>1</xdr:col>
      <xdr:colOff>600075</xdr:colOff>
      <xdr:row>4</xdr:row>
      <xdr:rowOff>171450</xdr:rowOff>
    </xdr:to>
    <xdr:pic>
      <xdr:nvPicPr>
        <xdr:cNvPr id="1073810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90</xdr:row>
      <xdr:rowOff>47625</xdr:rowOff>
    </xdr:from>
    <xdr:to>
      <xdr:col>5</xdr:col>
      <xdr:colOff>1419225</xdr:colOff>
      <xdr:row>111</xdr:row>
      <xdr:rowOff>28575</xdr:rowOff>
    </xdr:to>
    <xdr:graphicFrame macro="">
      <xdr:nvGraphicFramePr>
        <xdr:cNvPr id="107381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113</xdr:row>
      <xdr:rowOff>85725</xdr:rowOff>
    </xdr:from>
    <xdr:to>
      <xdr:col>5</xdr:col>
      <xdr:colOff>1419225</xdr:colOff>
      <xdr:row>138</xdr:row>
      <xdr:rowOff>0</xdr:rowOff>
    </xdr:to>
    <xdr:graphicFrame macro="">
      <xdr:nvGraphicFramePr>
        <xdr:cNvPr id="107381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5</xdr:col>
      <xdr:colOff>1447800</xdr:colOff>
      <xdr:row>89</xdr:row>
      <xdr:rowOff>0</xdr:rowOff>
    </xdr:to>
    <xdr:graphicFrame macro="">
      <xdr:nvGraphicFramePr>
        <xdr:cNvPr id="107381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9525</xdr:colOff>
      <xdr:row>89</xdr:row>
      <xdr:rowOff>0</xdr:rowOff>
    </xdr:to>
    <xdr:graphicFrame macro="">
      <xdr:nvGraphicFramePr>
        <xdr:cNvPr id="107381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0</xdr:colOff>
      <xdr:row>89</xdr:row>
      <xdr:rowOff>0</xdr:rowOff>
    </xdr:to>
    <xdr:graphicFrame macro="">
      <xdr:nvGraphicFramePr>
        <xdr:cNvPr id="1073815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19050</xdr:colOff>
      <xdr:row>89</xdr:row>
      <xdr:rowOff>0</xdr:rowOff>
    </xdr:to>
    <xdr:graphicFrame macro="">
      <xdr:nvGraphicFramePr>
        <xdr:cNvPr id="1073816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24</xdr:row>
      <xdr:rowOff>123825</xdr:rowOff>
    </xdr:from>
    <xdr:to>
      <xdr:col>5</xdr:col>
      <xdr:colOff>1438275</xdr:colOff>
      <xdr:row>44</xdr:row>
      <xdr:rowOff>133350</xdr:rowOff>
    </xdr:to>
    <xdr:graphicFrame macro="">
      <xdr:nvGraphicFramePr>
        <xdr:cNvPr id="1073817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62</xdr:row>
      <xdr:rowOff>333375</xdr:rowOff>
    </xdr:from>
    <xdr:to>
      <xdr:col>5</xdr:col>
      <xdr:colOff>1352550</xdr:colOff>
      <xdr:row>89</xdr:row>
      <xdr:rowOff>28575</xdr:rowOff>
    </xdr:to>
    <xdr:graphicFrame macro="">
      <xdr:nvGraphicFramePr>
        <xdr:cNvPr id="1073818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5208074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90</xdr:row>
      <xdr:rowOff>47625</xdr:rowOff>
    </xdr:from>
    <xdr:to>
      <xdr:col>5</xdr:col>
      <xdr:colOff>1419225</xdr:colOff>
      <xdr:row>111</xdr:row>
      <xdr:rowOff>28575</xdr:rowOff>
    </xdr:to>
    <xdr:graphicFrame macro="">
      <xdr:nvGraphicFramePr>
        <xdr:cNvPr id="520807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113</xdr:row>
      <xdr:rowOff>85725</xdr:rowOff>
    </xdr:from>
    <xdr:to>
      <xdr:col>5</xdr:col>
      <xdr:colOff>1419225</xdr:colOff>
      <xdr:row>138</xdr:row>
      <xdr:rowOff>0</xdr:rowOff>
    </xdr:to>
    <xdr:graphicFrame macro="">
      <xdr:nvGraphicFramePr>
        <xdr:cNvPr id="520807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5</xdr:col>
      <xdr:colOff>1447800</xdr:colOff>
      <xdr:row>89</xdr:row>
      <xdr:rowOff>0</xdr:rowOff>
    </xdr:to>
    <xdr:graphicFrame macro="">
      <xdr:nvGraphicFramePr>
        <xdr:cNvPr id="520807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9525</xdr:colOff>
      <xdr:row>89</xdr:row>
      <xdr:rowOff>0</xdr:rowOff>
    </xdr:to>
    <xdr:graphicFrame macro="">
      <xdr:nvGraphicFramePr>
        <xdr:cNvPr id="520807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0</xdr:colOff>
      <xdr:row>89</xdr:row>
      <xdr:rowOff>0</xdr:rowOff>
    </xdr:to>
    <xdr:graphicFrame macro="">
      <xdr:nvGraphicFramePr>
        <xdr:cNvPr id="5208079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19050</xdr:colOff>
      <xdr:row>89</xdr:row>
      <xdr:rowOff>0</xdr:rowOff>
    </xdr:to>
    <xdr:graphicFrame macro="">
      <xdr:nvGraphicFramePr>
        <xdr:cNvPr id="5208080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24</xdr:row>
      <xdr:rowOff>123825</xdr:rowOff>
    </xdr:from>
    <xdr:to>
      <xdr:col>5</xdr:col>
      <xdr:colOff>1438275</xdr:colOff>
      <xdr:row>44</xdr:row>
      <xdr:rowOff>133350</xdr:rowOff>
    </xdr:to>
    <xdr:graphicFrame macro="">
      <xdr:nvGraphicFramePr>
        <xdr:cNvPr id="5208081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63</xdr:row>
      <xdr:rowOff>0</xdr:rowOff>
    </xdr:from>
    <xdr:to>
      <xdr:col>5</xdr:col>
      <xdr:colOff>1352550</xdr:colOff>
      <xdr:row>88</xdr:row>
      <xdr:rowOff>66675</xdr:rowOff>
    </xdr:to>
    <xdr:graphicFrame macro="">
      <xdr:nvGraphicFramePr>
        <xdr:cNvPr id="5208082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68593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90</xdr:row>
      <xdr:rowOff>47625</xdr:rowOff>
    </xdr:from>
    <xdr:to>
      <xdr:col>5</xdr:col>
      <xdr:colOff>1419225</xdr:colOff>
      <xdr:row>111</xdr:row>
      <xdr:rowOff>28575</xdr:rowOff>
    </xdr:to>
    <xdr:graphicFrame macro="">
      <xdr:nvGraphicFramePr>
        <xdr:cNvPr id="685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113</xdr:row>
      <xdr:rowOff>85725</xdr:rowOff>
    </xdr:from>
    <xdr:to>
      <xdr:col>5</xdr:col>
      <xdr:colOff>1419225</xdr:colOff>
      <xdr:row>138</xdr:row>
      <xdr:rowOff>0</xdr:rowOff>
    </xdr:to>
    <xdr:graphicFrame macro="">
      <xdr:nvGraphicFramePr>
        <xdr:cNvPr id="6859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5</xdr:col>
      <xdr:colOff>1447800</xdr:colOff>
      <xdr:row>89</xdr:row>
      <xdr:rowOff>0</xdr:rowOff>
    </xdr:to>
    <xdr:graphicFrame macro="">
      <xdr:nvGraphicFramePr>
        <xdr:cNvPr id="6859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9525</xdr:colOff>
      <xdr:row>89</xdr:row>
      <xdr:rowOff>0</xdr:rowOff>
    </xdr:to>
    <xdr:graphicFrame macro="">
      <xdr:nvGraphicFramePr>
        <xdr:cNvPr id="68597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0</xdr:colOff>
      <xdr:row>89</xdr:row>
      <xdr:rowOff>0</xdr:rowOff>
    </xdr:to>
    <xdr:graphicFrame macro="">
      <xdr:nvGraphicFramePr>
        <xdr:cNvPr id="68598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19050</xdr:colOff>
      <xdr:row>89</xdr:row>
      <xdr:rowOff>0</xdr:rowOff>
    </xdr:to>
    <xdr:graphicFrame macro="">
      <xdr:nvGraphicFramePr>
        <xdr:cNvPr id="68599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24</xdr:row>
      <xdr:rowOff>123825</xdr:rowOff>
    </xdr:from>
    <xdr:to>
      <xdr:col>5</xdr:col>
      <xdr:colOff>1438275</xdr:colOff>
      <xdr:row>44</xdr:row>
      <xdr:rowOff>133350</xdr:rowOff>
    </xdr:to>
    <xdr:graphicFrame macro="">
      <xdr:nvGraphicFramePr>
        <xdr:cNvPr id="68600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63</xdr:row>
      <xdr:rowOff>0</xdr:rowOff>
    </xdr:from>
    <xdr:to>
      <xdr:col>5</xdr:col>
      <xdr:colOff>1352550</xdr:colOff>
      <xdr:row>88</xdr:row>
      <xdr:rowOff>66675</xdr:rowOff>
    </xdr:to>
    <xdr:graphicFrame macro="">
      <xdr:nvGraphicFramePr>
        <xdr:cNvPr id="68601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104775</xdr:rowOff>
    </xdr:from>
    <xdr:to>
      <xdr:col>1</xdr:col>
      <xdr:colOff>495300</xdr:colOff>
      <xdr:row>4</xdr:row>
      <xdr:rowOff>190500</xdr:rowOff>
    </xdr:to>
    <xdr:pic>
      <xdr:nvPicPr>
        <xdr:cNvPr id="267150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4775"/>
          <a:ext cx="8763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96</xdr:row>
      <xdr:rowOff>57150</xdr:rowOff>
    </xdr:from>
    <xdr:to>
      <xdr:col>5</xdr:col>
      <xdr:colOff>1400175</xdr:colOff>
      <xdr:row>117</xdr:row>
      <xdr:rowOff>38100</xdr:rowOff>
    </xdr:to>
    <xdr:graphicFrame macro="">
      <xdr:nvGraphicFramePr>
        <xdr:cNvPr id="26715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119</xdr:row>
      <xdr:rowOff>95250</xdr:rowOff>
    </xdr:from>
    <xdr:to>
      <xdr:col>5</xdr:col>
      <xdr:colOff>1400175</xdr:colOff>
      <xdr:row>144</xdr:row>
      <xdr:rowOff>9525</xdr:rowOff>
    </xdr:to>
    <xdr:graphicFrame macro="">
      <xdr:nvGraphicFramePr>
        <xdr:cNvPr id="26715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93</xdr:row>
      <xdr:rowOff>9525</xdr:rowOff>
    </xdr:from>
    <xdr:to>
      <xdr:col>5</xdr:col>
      <xdr:colOff>1447800</xdr:colOff>
      <xdr:row>93</xdr:row>
      <xdr:rowOff>9525</xdr:rowOff>
    </xdr:to>
    <xdr:graphicFrame macro="">
      <xdr:nvGraphicFramePr>
        <xdr:cNvPr id="26715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93</xdr:row>
      <xdr:rowOff>9525</xdr:rowOff>
    </xdr:from>
    <xdr:to>
      <xdr:col>6</xdr:col>
      <xdr:colOff>9525</xdr:colOff>
      <xdr:row>93</xdr:row>
      <xdr:rowOff>9525</xdr:rowOff>
    </xdr:to>
    <xdr:graphicFrame macro="">
      <xdr:nvGraphicFramePr>
        <xdr:cNvPr id="26715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93</xdr:row>
      <xdr:rowOff>9525</xdr:rowOff>
    </xdr:from>
    <xdr:to>
      <xdr:col>6</xdr:col>
      <xdr:colOff>0</xdr:colOff>
      <xdr:row>93</xdr:row>
      <xdr:rowOff>9525</xdr:rowOff>
    </xdr:to>
    <xdr:graphicFrame macro="">
      <xdr:nvGraphicFramePr>
        <xdr:cNvPr id="267155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93</xdr:row>
      <xdr:rowOff>9525</xdr:rowOff>
    </xdr:from>
    <xdr:to>
      <xdr:col>6</xdr:col>
      <xdr:colOff>19050</xdr:colOff>
      <xdr:row>93</xdr:row>
      <xdr:rowOff>9525</xdr:rowOff>
    </xdr:to>
    <xdr:graphicFrame macro="">
      <xdr:nvGraphicFramePr>
        <xdr:cNvPr id="267156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24</xdr:row>
      <xdr:rowOff>133350</xdr:rowOff>
    </xdr:from>
    <xdr:to>
      <xdr:col>5</xdr:col>
      <xdr:colOff>1419225</xdr:colOff>
      <xdr:row>44</xdr:row>
      <xdr:rowOff>142875</xdr:rowOff>
    </xdr:to>
    <xdr:graphicFrame macro="">
      <xdr:nvGraphicFramePr>
        <xdr:cNvPr id="267157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47625</xdr:colOff>
      <xdr:row>64</xdr:row>
      <xdr:rowOff>9525</xdr:rowOff>
    </xdr:from>
    <xdr:to>
      <xdr:col>5</xdr:col>
      <xdr:colOff>1333500</xdr:colOff>
      <xdr:row>89</xdr:row>
      <xdr:rowOff>85725</xdr:rowOff>
    </xdr:to>
    <xdr:graphicFrame macro="">
      <xdr:nvGraphicFramePr>
        <xdr:cNvPr id="267158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104775</xdr:rowOff>
    </xdr:from>
    <xdr:to>
      <xdr:col>1</xdr:col>
      <xdr:colOff>495300</xdr:colOff>
      <xdr:row>4</xdr:row>
      <xdr:rowOff>190500</xdr:rowOff>
    </xdr:to>
    <xdr:pic>
      <xdr:nvPicPr>
        <xdr:cNvPr id="597785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4775"/>
          <a:ext cx="8763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96</xdr:row>
      <xdr:rowOff>57150</xdr:rowOff>
    </xdr:from>
    <xdr:to>
      <xdr:col>5</xdr:col>
      <xdr:colOff>1400175</xdr:colOff>
      <xdr:row>117</xdr:row>
      <xdr:rowOff>38100</xdr:rowOff>
    </xdr:to>
    <xdr:graphicFrame macro="">
      <xdr:nvGraphicFramePr>
        <xdr:cNvPr id="59778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119</xdr:row>
      <xdr:rowOff>95250</xdr:rowOff>
    </xdr:from>
    <xdr:to>
      <xdr:col>5</xdr:col>
      <xdr:colOff>1400175</xdr:colOff>
      <xdr:row>144</xdr:row>
      <xdr:rowOff>9525</xdr:rowOff>
    </xdr:to>
    <xdr:graphicFrame macro="">
      <xdr:nvGraphicFramePr>
        <xdr:cNvPr id="59778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93</xdr:row>
      <xdr:rowOff>9525</xdr:rowOff>
    </xdr:from>
    <xdr:to>
      <xdr:col>5</xdr:col>
      <xdr:colOff>1447800</xdr:colOff>
      <xdr:row>93</xdr:row>
      <xdr:rowOff>9525</xdr:rowOff>
    </xdr:to>
    <xdr:graphicFrame macro="">
      <xdr:nvGraphicFramePr>
        <xdr:cNvPr id="59778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93</xdr:row>
      <xdr:rowOff>9525</xdr:rowOff>
    </xdr:from>
    <xdr:to>
      <xdr:col>6</xdr:col>
      <xdr:colOff>9525</xdr:colOff>
      <xdr:row>93</xdr:row>
      <xdr:rowOff>9525</xdr:rowOff>
    </xdr:to>
    <xdr:graphicFrame macro="">
      <xdr:nvGraphicFramePr>
        <xdr:cNvPr id="597789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93</xdr:row>
      <xdr:rowOff>9525</xdr:rowOff>
    </xdr:from>
    <xdr:to>
      <xdr:col>6</xdr:col>
      <xdr:colOff>0</xdr:colOff>
      <xdr:row>93</xdr:row>
      <xdr:rowOff>9525</xdr:rowOff>
    </xdr:to>
    <xdr:graphicFrame macro="">
      <xdr:nvGraphicFramePr>
        <xdr:cNvPr id="597790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93</xdr:row>
      <xdr:rowOff>9525</xdr:rowOff>
    </xdr:from>
    <xdr:to>
      <xdr:col>6</xdr:col>
      <xdr:colOff>19050</xdr:colOff>
      <xdr:row>93</xdr:row>
      <xdr:rowOff>9525</xdr:rowOff>
    </xdr:to>
    <xdr:graphicFrame macro="">
      <xdr:nvGraphicFramePr>
        <xdr:cNvPr id="597791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24</xdr:row>
      <xdr:rowOff>133350</xdr:rowOff>
    </xdr:from>
    <xdr:to>
      <xdr:col>5</xdr:col>
      <xdr:colOff>1419225</xdr:colOff>
      <xdr:row>44</xdr:row>
      <xdr:rowOff>142875</xdr:rowOff>
    </xdr:to>
    <xdr:graphicFrame macro="">
      <xdr:nvGraphicFramePr>
        <xdr:cNvPr id="597792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47625</xdr:colOff>
      <xdr:row>64</xdr:row>
      <xdr:rowOff>9525</xdr:rowOff>
    </xdr:from>
    <xdr:to>
      <xdr:col>5</xdr:col>
      <xdr:colOff>1333500</xdr:colOff>
      <xdr:row>89</xdr:row>
      <xdr:rowOff>85725</xdr:rowOff>
    </xdr:to>
    <xdr:graphicFrame macro="">
      <xdr:nvGraphicFramePr>
        <xdr:cNvPr id="597793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2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90</xdr:row>
      <xdr:rowOff>47625</xdr:rowOff>
    </xdr:from>
    <xdr:to>
      <xdr:col>5</xdr:col>
      <xdr:colOff>1419225</xdr:colOff>
      <xdr:row>111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47626</xdr:colOff>
      <xdr:row>113</xdr:row>
      <xdr:rowOff>85725</xdr:rowOff>
    </xdr:from>
    <xdr:to>
      <xdr:col>5</xdr:col>
      <xdr:colOff>1333500</xdr:colOff>
      <xdr:row>136</xdr:row>
      <xdr:rowOff>47625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5</xdr:col>
      <xdr:colOff>1447800</xdr:colOff>
      <xdr:row>89</xdr:row>
      <xdr:rowOff>0</xdr:rowOff>
    </xdr:to>
    <xdr:graphicFrame macro="">
      <xdr:nvGraphicFramePr>
        <xdr:cNvPr id="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9525</xdr:colOff>
      <xdr:row>89</xdr:row>
      <xdr:rowOff>0</xdr:rowOff>
    </xdr:to>
    <xdr:graphicFrame macro="">
      <xdr:nvGraphicFramePr>
        <xdr:cNvPr id="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0</xdr:colOff>
      <xdr:row>89</xdr:row>
      <xdr:rowOff>0</xdr:rowOff>
    </xdr:to>
    <xdr:graphicFrame macro="">
      <xdr:nvGraphicFramePr>
        <xdr:cNvPr id="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19050</xdr:colOff>
      <xdr:row>89</xdr:row>
      <xdr:rowOff>0</xdr:rowOff>
    </xdr:to>
    <xdr:graphicFrame macro="">
      <xdr:nvGraphicFramePr>
        <xdr:cNvPr id="8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24</xdr:row>
      <xdr:rowOff>123825</xdr:rowOff>
    </xdr:from>
    <xdr:to>
      <xdr:col>5</xdr:col>
      <xdr:colOff>1438275</xdr:colOff>
      <xdr:row>44</xdr:row>
      <xdr:rowOff>133350</xdr:rowOff>
    </xdr:to>
    <xdr:graphicFrame macro="">
      <xdr:nvGraphicFramePr>
        <xdr:cNvPr id="9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63</xdr:row>
      <xdr:rowOff>0</xdr:rowOff>
    </xdr:from>
    <xdr:to>
      <xdr:col>5</xdr:col>
      <xdr:colOff>1343025</xdr:colOff>
      <xdr:row>86</xdr:row>
      <xdr:rowOff>180975</xdr:rowOff>
    </xdr:to>
    <xdr:graphicFrame macro="">
      <xdr:nvGraphicFramePr>
        <xdr:cNvPr id="10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2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90</xdr:row>
      <xdr:rowOff>47625</xdr:rowOff>
    </xdr:from>
    <xdr:to>
      <xdr:col>5</xdr:col>
      <xdr:colOff>1419225</xdr:colOff>
      <xdr:row>111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47626</xdr:colOff>
      <xdr:row>113</xdr:row>
      <xdr:rowOff>85725</xdr:rowOff>
    </xdr:from>
    <xdr:to>
      <xdr:col>5</xdr:col>
      <xdr:colOff>1333500</xdr:colOff>
      <xdr:row>136</xdr:row>
      <xdr:rowOff>47625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5</xdr:col>
      <xdr:colOff>1447800</xdr:colOff>
      <xdr:row>89</xdr:row>
      <xdr:rowOff>0</xdr:rowOff>
    </xdr:to>
    <xdr:graphicFrame macro="">
      <xdr:nvGraphicFramePr>
        <xdr:cNvPr id="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9525</xdr:colOff>
      <xdr:row>89</xdr:row>
      <xdr:rowOff>0</xdr:rowOff>
    </xdr:to>
    <xdr:graphicFrame macro="">
      <xdr:nvGraphicFramePr>
        <xdr:cNvPr id="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0</xdr:colOff>
      <xdr:row>89</xdr:row>
      <xdr:rowOff>0</xdr:rowOff>
    </xdr:to>
    <xdr:graphicFrame macro="">
      <xdr:nvGraphicFramePr>
        <xdr:cNvPr id="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19050</xdr:colOff>
      <xdr:row>89</xdr:row>
      <xdr:rowOff>0</xdr:rowOff>
    </xdr:to>
    <xdr:graphicFrame macro="">
      <xdr:nvGraphicFramePr>
        <xdr:cNvPr id="8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24</xdr:row>
      <xdr:rowOff>123825</xdr:rowOff>
    </xdr:from>
    <xdr:to>
      <xdr:col>5</xdr:col>
      <xdr:colOff>1438275</xdr:colOff>
      <xdr:row>44</xdr:row>
      <xdr:rowOff>133350</xdr:rowOff>
    </xdr:to>
    <xdr:graphicFrame macro="">
      <xdr:nvGraphicFramePr>
        <xdr:cNvPr id="9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63</xdr:row>
      <xdr:rowOff>0</xdr:rowOff>
    </xdr:from>
    <xdr:to>
      <xdr:col>5</xdr:col>
      <xdr:colOff>1343025</xdr:colOff>
      <xdr:row>86</xdr:row>
      <xdr:rowOff>180975</xdr:rowOff>
    </xdr:to>
    <xdr:graphicFrame macro="">
      <xdr:nvGraphicFramePr>
        <xdr:cNvPr id="10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2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90</xdr:row>
      <xdr:rowOff>47625</xdr:rowOff>
    </xdr:from>
    <xdr:to>
      <xdr:col>5</xdr:col>
      <xdr:colOff>1419225</xdr:colOff>
      <xdr:row>111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47626</xdr:colOff>
      <xdr:row>113</xdr:row>
      <xdr:rowOff>85725</xdr:rowOff>
    </xdr:from>
    <xdr:to>
      <xdr:col>5</xdr:col>
      <xdr:colOff>1333500</xdr:colOff>
      <xdr:row>136</xdr:row>
      <xdr:rowOff>47625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5</xdr:col>
      <xdr:colOff>1447800</xdr:colOff>
      <xdr:row>89</xdr:row>
      <xdr:rowOff>0</xdr:rowOff>
    </xdr:to>
    <xdr:graphicFrame macro="">
      <xdr:nvGraphicFramePr>
        <xdr:cNvPr id="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9525</xdr:colOff>
      <xdr:row>89</xdr:row>
      <xdr:rowOff>0</xdr:rowOff>
    </xdr:to>
    <xdr:graphicFrame macro="">
      <xdr:nvGraphicFramePr>
        <xdr:cNvPr id="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0</xdr:colOff>
      <xdr:row>89</xdr:row>
      <xdr:rowOff>0</xdr:rowOff>
    </xdr:to>
    <xdr:graphicFrame macro="">
      <xdr:nvGraphicFramePr>
        <xdr:cNvPr id="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19050</xdr:colOff>
      <xdr:row>89</xdr:row>
      <xdr:rowOff>0</xdr:rowOff>
    </xdr:to>
    <xdr:graphicFrame macro="">
      <xdr:nvGraphicFramePr>
        <xdr:cNvPr id="8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24</xdr:row>
      <xdr:rowOff>123825</xdr:rowOff>
    </xdr:from>
    <xdr:to>
      <xdr:col>5</xdr:col>
      <xdr:colOff>1438275</xdr:colOff>
      <xdr:row>44</xdr:row>
      <xdr:rowOff>133350</xdr:rowOff>
    </xdr:to>
    <xdr:graphicFrame macro="">
      <xdr:nvGraphicFramePr>
        <xdr:cNvPr id="9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63</xdr:row>
      <xdr:rowOff>0</xdr:rowOff>
    </xdr:from>
    <xdr:to>
      <xdr:col>5</xdr:col>
      <xdr:colOff>1343025</xdr:colOff>
      <xdr:row>86</xdr:row>
      <xdr:rowOff>180975</xdr:rowOff>
    </xdr:to>
    <xdr:graphicFrame macro="">
      <xdr:nvGraphicFramePr>
        <xdr:cNvPr id="10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5052444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90</xdr:row>
      <xdr:rowOff>47625</xdr:rowOff>
    </xdr:from>
    <xdr:to>
      <xdr:col>5</xdr:col>
      <xdr:colOff>1419225</xdr:colOff>
      <xdr:row>111</xdr:row>
      <xdr:rowOff>28575</xdr:rowOff>
    </xdr:to>
    <xdr:graphicFrame macro="">
      <xdr:nvGraphicFramePr>
        <xdr:cNvPr id="505244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113</xdr:row>
      <xdr:rowOff>85725</xdr:rowOff>
    </xdr:from>
    <xdr:to>
      <xdr:col>5</xdr:col>
      <xdr:colOff>1419225</xdr:colOff>
      <xdr:row>138</xdr:row>
      <xdr:rowOff>0</xdr:rowOff>
    </xdr:to>
    <xdr:graphicFrame macro="">
      <xdr:nvGraphicFramePr>
        <xdr:cNvPr id="505244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5</xdr:col>
      <xdr:colOff>1447800</xdr:colOff>
      <xdr:row>89</xdr:row>
      <xdr:rowOff>0</xdr:rowOff>
    </xdr:to>
    <xdr:graphicFrame macro="">
      <xdr:nvGraphicFramePr>
        <xdr:cNvPr id="505244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9525</xdr:colOff>
      <xdr:row>89</xdr:row>
      <xdr:rowOff>0</xdr:rowOff>
    </xdr:to>
    <xdr:graphicFrame macro="">
      <xdr:nvGraphicFramePr>
        <xdr:cNvPr id="505244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0</xdr:colOff>
      <xdr:row>89</xdr:row>
      <xdr:rowOff>0</xdr:rowOff>
    </xdr:to>
    <xdr:graphicFrame macro="">
      <xdr:nvGraphicFramePr>
        <xdr:cNvPr id="5052449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19050</xdr:colOff>
      <xdr:row>89</xdr:row>
      <xdr:rowOff>0</xdr:rowOff>
    </xdr:to>
    <xdr:graphicFrame macro="">
      <xdr:nvGraphicFramePr>
        <xdr:cNvPr id="5052450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24</xdr:row>
      <xdr:rowOff>123825</xdr:rowOff>
    </xdr:from>
    <xdr:to>
      <xdr:col>5</xdr:col>
      <xdr:colOff>1438275</xdr:colOff>
      <xdr:row>44</xdr:row>
      <xdr:rowOff>133350</xdr:rowOff>
    </xdr:to>
    <xdr:graphicFrame macro="">
      <xdr:nvGraphicFramePr>
        <xdr:cNvPr id="5052451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63</xdr:row>
      <xdr:rowOff>0</xdr:rowOff>
    </xdr:from>
    <xdr:to>
      <xdr:col>5</xdr:col>
      <xdr:colOff>1352550</xdr:colOff>
      <xdr:row>88</xdr:row>
      <xdr:rowOff>66675</xdr:rowOff>
    </xdr:to>
    <xdr:graphicFrame macro="">
      <xdr:nvGraphicFramePr>
        <xdr:cNvPr id="5052452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4559954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90</xdr:row>
      <xdr:rowOff>47625</xdr:rowOff>
    </xdr:from>
    <xdr:to>
      <xdr:col>5</xdr:col>
      <xdr:colOff>1419225</xdr:colOff>
      <xdr:row>111</xdr:row>
      <xdr:rowOff>28575</xdr:rowOff>
    </xdr:to>
    <xdr:graphicFrame macro="">
      <xdr:nvGraphicFramePr>
        <xdr:cNvPr id="455995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113</xdr:row>
      <xdr:rowOff>85725</xdr:rowOff>
    </xdr:from>
    <xdr:to>
      <xdr:col>5</xdr:col>
      <xdr:colOff>1419225</xdr:colOff>
      <xdr:row>138</xdr:row>
      <xdr:rowOff>0</xdr:rowOff>
    </xdr:to>
    <xdr:graphicFrame macro="">
      <xdr:nvGraphicFramePr>
        <xdr:cNvPr id="455995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5</xdr:col>
      <xdr:colOff>1447800</xdr:colOff>
      <xdr:row>89</xdr:row>
      <xdr:rowOff>0</xdr:rowOff>
    </xdr:to>
    <xdr:graphicFrame macro="">
      <xdr:nvGraphicFramePr>
        <xdr:cNvPr id="455995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9525</xdr:colOff>
      <xdr:row>89</xdr:row>
      <xdr:rowOff>0</xdr:rowOff>
    </xdr:to>
    <xdr:graphicFrame macro="">
      <xdr:nvGraphicFramePr>
        <xdr:cNvPr id="455995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0</xdr:colOff>
      <xdr:row>89</xdr:row>
      <xdr:rowOff>0</xdr:rowOff>
    </xdr:to>
    <xdr:graphicFrame macro="">
      <xdr:nvGraphicFramePr>
        <xdr:cNvPr id="4559959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19050</xdr:colOff>
      <xdr:row>89</xdr:row>
      <xdr:rowOff>0</xdr:rowOff>
    </xdr:to>
    <xdr:graphicFrame macro="">
      <xdr:nvGraphicFramePr>
        <xdr:cNvPr id="4559960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24</xdr:row>
      <xdr:rowOff>123825</xdr:rowOff>
    </xdr:from>
    <xdr:to>
      <xdr:col>5</xdr:col>
      <xdr:colOff>1438275</xdr:colOff>
      <xdr:row>44</xdr:row>
      <xdr:rowOff>133350</xdr:rowOff>
    </xdr:to>
    <xdr:graphicFrame macro="">
      <xdr:nvGraphicFramePr>
        <xdr:cNvPr id="4559961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63</xdr:row>
      <xdr:rowOff>0</xdr:rowOff>
    </xdr:from>
    <xdr:to>
      <xdr:col>5</xdr:col>
      <xdr:colOff>1352550</xdr:colOff>
      <xdr:row>88</xdr:row>
      <xdr:rowOff>66675</xdr:rowOff>
    </xdr:to>
    <xdr:graphicFrame macro="">
      <xdr:nvGraphicFramePr>
        <xdr:cNvPr id="4559962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3969178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90</xdr:row>
      <xdr:rowOff>47625</xdr:rowOff>
    </xdr:from>
    <xdr:to>
      <xdr:col>5</xdr:col>
      <xdr:colOff>1419225</xdr:colOff>
      <xdr:row>111</xdr:row>
      <xdr:rowOff>28575</xdr:rowOff>
    </xdr:to>
    <xdr:graphicFrame macro="">
      <xdr:nvGraphicFramePr>
        <xdr:cNvPr id="396917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113</xdr:row>
      <xdr:rowOff>85725</xdr:rowOff>
    </xdr:from>
    <xdr:to>
      <xdr:col>5</xdr:col>
      <xdr:colOff>1419225</xdr:colOff>
      <xdr:row>138</xdr:row>
      <xdr:rowOff>0</xdr:rowOff>
    </xdr:to>
    <xdr:graphicFrame macro="">
      <xdr:nvGraphicFramePr>
        <xdr:cNvPr id="396918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5</xdr:col>
      <xdr:colOff>1447800</xdr:colOff>
      <xdr:row>89</xdr:row>
      <xdr:rowOff>0</xdr:rowOff>
    </xdr:to>
    <xdr:graphicFrame macro="">
      <xdr:nvGraphicFramePr>
        <xdr:cNvPr id="396918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9525</xdr:colOff>
      <xdr:row>89</xdr:row>
      <xdr:rowOff>0</xdr:rowOff>
    </xdr:to>
    <xdr:graphicFrame macro="">
      <xdr:nvGraphicFramePr>
        <xdr:cNvPr id="396918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0</xdr:colOff>
      <xdr:row>89</xdr:row>
      <xdr:rowOff>0</xdr:rowOff>
    </xdr:to>
    <xdr:graphicFrame macro="">
      <xdr:nvGraphicFramePr>
        <xdr:cNvPr id="3969183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19050</xdr:colOff>
      <xdr:row>89</xdr:row>
      <xdr:rowOff>0</xdr:rowOff>
    </xdr:to>
    <xdr:graphicFrame macro="">
      <xdr:nvGraphicFramePr>
        <xdr:cNvPr id="3969184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24</xdr:row>
      <xdr:rowOff>123825</xdr:rowOff>
    </xdr:from>
    <xdr:to>
      <xdr:col>5</xdr:col>
      <xdr:colOff>1438275</xdr:colOff>
      <xdr:row>44</xdr:row>
      <xdr:rowOff>133350</xdr:rowOff>
    </xdr:to>
    <xdr:graphicFrame macro="">
      <xdr:nvGraphicFramePr>
        <xdr:cNvPr id="3969185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63</xdr:row>
      <xdr:rowOff>0</xdr:rowOff>
    </xdr:from>
    <xdr:to>
      <xdr:col>5</xdr:col>
      <xdr:colOff>1352550</xdr:colOff>
      <xdr:row>88</xdr:row>
      <xdr:rowOff>66675</xdr:rowOff>
    </xdr:to>
    <xdr:graphicFrame macro="">
      <xdr:nvGraphicFramePr>
        <xdr:cNvPr id="3969186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3312884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90</xdr:row>
      <xdr:rowOff>47625</xdr:rowOff>
    </xdr:from>
    <xdr:to>
      <xdr:col>5</xdr:col>
      <xdr:colOff>1419225</xdr:colOff>
      <xdr:row>111</xdr:row>
      <xdr:rowOff>28575</xdr:rowOff>
    </xdr:to>
    <xdr:graphicFrame macro="">
      <xdr:nvGraphicFramePr>
        <xdr:cNvPr id="331288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113</xdr:row>
      <xdr:rowOff>85725</xdr:rowOff>
    </xdr:from>
    <xdr:to>
      <xdr:col>5</xdr:col>
      <xdr:colOff>1419225</xdr:colOff>
      <xdr:row>138</xdr:row>
      <xdr:rowOff>0</xdr:rowOff>
    </xdr:to>
    <xdr:graphicFrame macro="">
      <xdr:nvGraphicFramePr>
        <xdr:cNvPr id="331288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5</xdr:col>
      <xdr:colOff>1447800</xdr:colOff>
      <xdr:row>89</xdr:row>
      <xdr:rowOff>0</xdr:rowOff>
    </xdr:to>
    <xdr:graphicFrame macro="">
      <xdr:nvGraphicFramePr>
        <xdr:cNvPr id="331288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9525</xdr:colOff>
      <xdr:row>89</xdr:row>
      <xdr:rowOff>0</xdr:rowOff>
    </xdr:to>
    <xdr:graphicFrame macro="">
      <xdr:nvGraphicFramePr>
        <xdr:cNvPr id="331288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0</xdr:colOff>
      <xdr:row>89</xdr:row>
      <xdr:rowOff>0</xdr:rowOff>
    </xdr:to>
    <xdr:graphicFrame macro="">
      <xdr:nvGraphicFramePr>
        <xdr:cNvPr id="3312889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19050</xdr:colOff>
      <xdr:row>89</xdr:row>
      <xdr:rowOff>0</xdr:rowOff>
    </xdr:to>
    <xdr:graphicFrame macro="">
      <xdr:nvGraphicFramePr>
        <xdr:cNvPr id="3312890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24</xdr:row>
      <xdr:rowOff>123825</xdr:rowOff>
    </xdr:from>
    <xdr:to>
      <xdr:col>5</xdr:col>
      <xdr:colOff>1438275</xdr:colOff>
      <xdr:row>44</xdr:row>
      <xdr:rowOff>133350</xdr:rowOff>
    </xdr:to>
    <xdr:graphicFrame macro="">
      <xdr:nvGraphicFramePr>
        <xdr:cNvPr id="3312891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63</xdr:row>
      <xdr:rowOff>0</xdr:rowOff>
    </xdr:from>
    <xdr:to>
      <xdr:col>5</xdr:col>
      <xdr:colOff>1352550</xdr:colOff>
      <xdr:row>88</xdr:row>
      <xdr:rowOff>66675</xdr:rowOff>
    </xdr:to>
    <xdr:graphicFrame macro="">
      <xdr:nvGraphicFramePr>
        <xdr:cNvPr id="3312892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28575</xdr:rowOff>
    </xdr:from>
    <xdr:to>
      <xdr:col>1</xdr:col>
      <xdr:colOff>600075</xdr:colOff>
      <xdr:row>4</xdr:row>
      <xdr:rowOff>171450</xdr:rowOff>
    </xdr:to>
    <xdr:pic>
      <xdr:nvPicPr>
        <xdr:cNvPr id="2509170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90</xdr:row>
      <xdr:rowOff>47625</xdr:rowOff>
    </xdr:from>
    <xdr:to>
      <xdr:col>5</xdr:col>
      <xdr:colOff>1419225</xdr:colOff>
      <xdr:row>111</xdr:row>
      <xdr:rowOff>28575</xdr:rowOff>
    </xdr:to>
    <xdr:graphicFrame macro="">
      <xdr:nvGraphicFramePr>
        <xdr:cNvPr id="250917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113</xdr:row>
      <xdr:rowOff>85725</xdr:rowOff>
    </xdr:from>
    <xdr:to>
      <xdr:col>5</xdr:col>
      <xdr:colOff>1419225</xdr:colOff>
      <xdr:row>138</xdr:row>
      <xdr:rowOff>0</xdr:rowOff>
    </xdr:to>
    <xdr:graphicFrame macro="">
      <xdr:nvGraphicFramePr>
        <xdr:cNvPr id="250917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5</xdr:col>
      <xdr:colOff>1447800</xdr:colOff>
      <xdr:row>89</xdr:row>
      <xdr:rowOff>0</xdr:rowOff>
    </xdr:to>
    <xdr:graphicFrame macro="">
      <xdr:nvGraphicFramePr>
        <xdr:cNvPr id="250917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9525</xdr:colOff>
      <xdr:row>89</xdr:row>
      <xdr:rowOff>0</xdr:rowOff>
    </xdr:to>
    <xdr:graphicFrame macro="">
      <xdr:nvGraphicFramePr>
        <xdr:cNvPr id="250917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0</xdr:colOff>
      <xdr:row>89</xdr:row>
      <xdr:rowOff>0</xdr:rowOff>
    </xdr:to>
    <xdr:graphicFrame macro="">
      <xdr:nvGraphicFramePr>
        <xdr:cNvPr id="2509175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19050</xdr:colOff>
      <xdr:row>89</xdr:row>
      <xdr:rowOff>0</xdr:rowOff>
    </xdr:to>
    <xdr:graphicFrame macro="">
      <xdr:nvGraphicFramePr>
        <xdr:cNvPr id="2509176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24</xdr:row>
      <xdr:rowOff>123825</xdr:rowOff>
    </xdr:from>
    <xdr:to>
      <xdr:col>5</xdr:col>
      <xdr:colOff>1438275</xdr:colOff>
      <xdr:row>44</xdr:row>
      <xdr:rowOff>133350</xdr:rowOff>
    </xdr:to>
    <xdr:graphicFrame macro="">
      <xdr:nvGraphicFramePr>
        <xdr:cNvPr id="2509177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63</xdr:row>
      <xdr:rowOff>114300</xdr:rowOff>
    </xdr:from>
    <xdr:to>
      <xdr:col>5</xdr:col>
      <xdr:colOff>1352550</xdr:colOff>
      <xdr:row>89</xdr:row>
      <xdr:rowOff>142875</xdr:rowOff>
    </xdr:to>
    <xdr:graphicFrame macro="">
      <xdr:nvGraphicFramePr>
        <xdr:cNvPr id="2509178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4"/>
  <sheetViews>
    <sheetView tabSelected="1" zoomScaleNormal="100" workbookViewId="0">
      <selection activeCell="J44" sqref="J44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8.375" style="2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8.125" style="2" customWidth="1"/>
    <col min="12" max="12" width="13.75" style="2" customWidth="1"/>
    <col min="13" max="13" width="11.375" style="2" customWidth="1"/>
    <col min="14" max="14" width="14" style="2" bestFit="1" customWidth="1"/>
    <col min="15" max="15" width="13.125" style="2" bestFit="1" customWidth="1"/>
    <col min="16" max="16" width="10.25" style="2" customWidth="1"/>
    <col min="17" max="17" width="11.5" style="2" customWidth="1"/>
    <col min="18" max="18" width="11.875" style="2" customWidth="1"/>
    <col min="19" max="19" width="13.25" style="2" bestFit="1" customWidth="1"/>
    <col min="20" max="20" width="12.125" style="2" customWidth="1"/>
    <col min="21" max="21" width="12.5" style="2" bestFit="1" customWidth="1"/>
    <col min="22" max="22" width="13" style="2" customWidth="1"/>
    <col min="23" max="23" width="12.5" style="2" bestFit="1" customWidth="1"/>
    <col min="24" max="24" width="11.125" style="2" bestFit="1" customWidth="1"/>
    <col min="25" max="25" width="11.25" style="2" customWidth="1"/>
    <col min="26" max="26" width="12.625" style="2" customWidth="1"/>
    <col min="27" max="27" width="11.125" style="2" bestFit="1" customWidth="1"/>
    <col min="28" max="28" width="10.75" style="2" customWidth="1"/>
    <col min="29" max="29" width="12.5" style="2" bestFit="1" customWidth="1"/>
    <col min="30" max="30" width="11.5" style="2" customWidth="1"/>
    <col min="31" max="31" width="11.375" style="2" customWidth="1"/>
    <col min="32" max="32" width="11.75" style="2" customWidth="1"/>
    <col min="33" max="33" width="13" style="2" customWidth="1"/>
    <col min="34" max="34" width="9" style="2"/>
    <col min="35" max="35" width="11.125" style="2" customWidth="1"/>
    <col min="36" max="36" width="9" style="2"/>
    <col min="37" max="37" width="12.875" style="2" customWidth="1"/>
    <col min="38" max="16384" width="9" style="2"/>
  </cols>
  <sheetData>
    <row r="1" spans="1:32" ht="15.95" customHeight="1">
      <c r="E1" s="3"/>
      <c r="F1" s="99" t="s">
        <v>23</v>
      </c>
    </row>
    <row r="2" spans="1:32" ht="15.95" customHeight="1">
      <c r="E2" s="3"/>
      <c r="F2" s="99" t="s">
        <v>52</v>
      </c>
    </row>
    <row r="3" spans="1:32" ht="15.95" customHeight="1">
      <c r="B3" s="127" t="s">
        <v>41</v>
      </c>
      <c r="C3" s="127"/>
      <c r="D3" s="127"/>
      <c r="E3" s="3"/>
      <c r="F3" s="99" t="s">
        <v>53</v>
      </c>
    </row>
    <row r="4" spans="1:32" ht="15.95" customHeight="1">
      <c r="E4" s="3"/>
      <c r="F4" s="99" t="s">
        <v>54</v>
      </c>
    </row>
    <row r="5" spans="1:32" ht="15.95" customHeight="1">
      <c r="E5" s="3"/>
      <c r="F5" s="99" t="s">
        <v>24</v>
      </c>
    </row>
    <row r="6" spans="1:32" ht="16.5">
      <c r="A6" s="4"/>
      <c r="B6" s="4"/>
      <c r="C6" s="4"/>
      <c r="D6" s="5"/>
      <c r="E6" s="5"/>
      <c r="F6" s="100"/>
    </row>
    <row r="7" spans="1:32" ht="15.75">
      <c r="D7" s="3"/>
      <c r="E7" s="3"/>
    </row>
    <row r="8" spans="1:32" ht="19.5" customHeight="1">
      <c r="A8" s="102" t="s">
        <v>244</v>
      </c>
      <c r="B8" s="103" t="s">
        <v>37</v>
      </c>
      <c r="C8" s="103"/>
      <c r="D8" s="103"/>
      <c r="E8" s="103"/>
      <c r="F8" s="103"/>
    </row>
    <row r="9" spans="1:32" ht="19.5" customHeight="1">
      <c r="A9" s="102" t="s">
        <v>245</v>
      </c>
      <c r="B9" s="103" t="s">
        <v>93</v>
      </c>
      <c r="C9" s="103"/>
      <c r="D9" s="103"/>
      <c r="E9" s="103"/>
      <c r="F9" s="103"/>
    </row>
    <row r="10" spans="1:32" ht="19.5" customHeight="1">
      <c r="A10" s="102" t="s">
        <v>246</v>
      </c>
      <c r="B10" s="104">
        <v>41554</v>
      </c>
      <c r="C10" s="103"/>
      <c r="D10" s="103"/>
      <c r="E10" s="103"/>
      <c r="F10" s="103"/>
    </row>
    <row r="11" spans="1:32" ht="19.5" customHeight="1">
      <c r="A11" s="102" t="s">
        <v>247</v>
      </c>
      <c r="B11" s="103" t="s">
        <v>261</v>
      </c>
      <c r="C11" s="103"/>
      <c r="D11" s="103"/>
      <c r="E11" s="103"/>
      <c r="F11" s="103"/>
    </row>
    <row r="12" spans="1:32" ht="15.75" customHeight="1">
      <c r="A12" s="102"/>
      <c r="B12" s="103"/>
      <c r="C12" s="103"/>
      <c r="D12" s="103"/>
      <c r="E12" s="103"/>
      <c r="F12" s="103"/>
    </row>
    <row r="13" spans="1:32" ht="5.25" customHeight="1">
      <c r="A13" s="128"/>
      <c r="B13" s="128"/>
      <c r="C13" s="128"/>
      <c r="D13" s="128"/>
      <c r="E13" s="128"/>
      <c r="F13" s="128"/>
    </row>
    <row r="14" spans="1:32" ht="21" customHeight="1">
      <c r="A14" s="125" t="s">
        <v>172</v>
      </c>
      <c r="B14" s="125"/>
      <c r="C14" s="125"/>
      <c r="D14" s="125"/>
      <c r="E14" s="125"/>
      <c r="F14" s="125"/>
    </row>
    <row r="15" spans="1:32" ht="8.25" customHeight="1">
      <c r="A15" s="103"/>
      <c r="B15" s="103"/>
      <c r="C15" s="103"/>
      <c r="D15" s="103"/>
      <c r="E15" s="103"/>
      <c r="F15" s="103"/>
      <c r="N15" s="34"/>
      <c r="O15" s="34"/>
      <c r="P15" s="34"/>
      <c r="Q15" s="34"/>
    </row>
    <row r="16" spans="1:32" ht="39">
      <c r="A16" s="129"/>
      <c r="B16" s="129"/>
      <c r="C16" s="105" t="s">
        <v>238</v>
      </c>
      <c r="D16" s="105" t="s">
        <v>262</v>
      </c>
      <c r="E16" s="105" t="s">
        <v>25</v>
      </c>
      <c r="F16" s="105" t="s">
        <v>263</v>
      </c>
      <c r="G16" s="10">
        <v>1</v>
      </c>
      <c r="H16" s="2" t="s">
        <v>42</v>
      </c>
      <c r="I16" s="10">
        <v>1</v>
      </c>
      <c r="K16" s="9" t="s">
        <v>238</v>
      </c>
      <c r="L16" s="9" t="s">
        <v>264</v>
      </c>
      <c r="M16" s="9">
        <v>2013</v>
      </c>
      <c r="N16" s="9" t="s">
        <v>196</v>
      </c>
      <c r="O16" s="9" t="s">
        <v>229</v>
      </c>
      <c r="P16" s="9">
        <v>2012</v>
      </c>
      <c r="Q16" s="9" t="s">
        <v>151</v>
      </c>
      <c r="R16" s="9" t="s">
        <v>230</v>
      </c>
      <c r="S16" s="9" t="s">
        <v>192</v>
      </c>
      <c r="T16" s="9">
        <v>2011</v>
      </c>
      <c r="U16" s="9" t="s">
        <v>94</v>
      </c>
      <c r="V16" s="9" t="s">
        <v>231</v>
      </c>
      <c r="W16" s="9" t="s">
        <v>193</v>
      </c>
      <c r="X16" s="9">
        <v>2010</v>
      </c>
      <c r="Y16" s="9" t="s">
        <v>1</v>
      </c>
      <c r="Z16" s="9" t="s">
        <v>147</v>
      </c>
      <c r="AA16" s="9" t="s">
        <v>106</v>
      </c>
      <c r="AB16" s="9">
        <v>2009</v>
      </c>
      <c r="AC16" s="9"/>
      <c r="AD16" s="9"/>
      <c r="AE16" s="9"/>
      <c r="AF16" s="9"/>
    </row>
    <row r="17" spans="1:32" ht="15.75" customHeight="1">
      <c r="A17" s="123" t="s">
        <v>26</v>
      </c>
      <c r="B17" s="123"/>
      <c r="C17" s="112">
        <f>K17</f>
        <v>178536569</v>
      </c>
      <c r="D17" s="112">
        <f>L17</f>
        <v>180442564</v>
      </c>
      <c r="E17" s="106">
        <f t="shared" ref="E17:E24" si="0">(D17/C17)</f>
        <v>1.0106756560332466</v>
      </c>
      <c r="F17" s="115">
        <f t="shared" ref="F17:F23" si="1">D17-G17</f>
        <v>1905995</v>
      </c>
      <c r="G17" s="14">
        <f>C17*1</f>
        <v>178536569</v>
      </c>
      <c r="H17" s="27">
        <v>0</v>
      </c>
      <c r="I17" s="10">
        <v>1</v>
      </c>
      <c r="J17" s="21" t="str">
        <f>A17</f>
        <v>Current / Delinquent Taxes</v>
      </c>
      <c r="K17" s="82">
        <v>178536569</v>
      </c>
      <c r="L17" s="82">
        <v>180442564</v>
      </c>
      <c r="M17" s="41">
        <f>L17/K17</f>
        <v>1.0106756560332466</v>
      </c>
      <c r="N17" s="82">
        <v>172920521</v>
      </c>
      <c r="O17" s="82">
        <v>174969403</v>
      </c>
      <c r="P17" s="41">
        <v>1.0074649728819636</v>
      </c>
      <c r="Q17" s="82">
        <v>170741229</v>
      </c>
      <c r="R17" s="82">
        <v>170756658</v>
      </c>
      <c r="S17" s="82"/>
      <c r="T17" s="41">
        <v>0.99192059995722792</v>
      </c>
      <c r="U17" s="11">
        <v>175930506</v>
      </c>
      <c r="V17" s="11">
        <v>175146677.47</v>
      </c>
      <c r="W17" s="11"/>
      <c r="X17" s="12">
        <v>0.99143609091920493</v>
      </c>
      <c r="Y17" s="11">
        <v>173590951</v>
      </c>
      <c r="Z17" s="11">
        <v>174579261.34</v>
      </c>
      <c r="AA17" s="11"/>
      <c r="AB17" s="12">
        <v>0.98807071423905934</v>
      </c>
      <c r="AC17" s="11"/>
      <c r="AD17" s="11"/>
      <c r="AE17" s="11"/>
      <c r="AF17" s="12"/>
    </row>
    <row r="18" spans="1:32" ht="15.75" customHeight="1">
      <c r="A18" s="123" t="s">
        <v>95</v>
      </c>
      <c r="B18" s="123"/>
      <c r="C18" s="107">
        <f>K18</f>
        <v>279000</v>
      </c>
      <c r="D18" s="107">
        <f>L18</f>
        <v>382451</v>
      </c>
      <c r="E18" s="106">
        <f>(D18/C18)</f>
        <v>1.3707921146953406</v>
      </c>
      <c r="F18" s="108">
        <f>D18-G18</f>
        <v>103451</v>
      </c>
      <c r="G18" s="14">
        <f t="shared" ref="G18:G24" si="2">C18*1</f>
        <v>279000</v>
      </c>
      <c r="H18" s="27">
        <v>0</v>
      </c>
      <c r="I18" s="10">
        <v>1</v>
      </c>
      <c r="J18" s="21" t="str">
        <f t="shared" ref="J18:J23" si="3">A18</f>
        <v>License / Permits</v>
      </c>
      <c r="K18" s="83">
        <v>279000</v>
      </c>
      <c r="L18" s="83">
        <f>4775+377676</f>
        <v>382451</v>
      </c>
      <c r="M18" s="41">
        <f t="shared" ref="M18:M23" si="4">L18/K18</f>
        <v>1.3707921146953406</v>
      </c>
      <c r="N18" s="83">
        <v>280300</v>
      </c>
      <c r="O18" s="83">
        <v>284759</v>
      </c>
      <c r="P18" s="41">
        <v>0.82795576168391005</v>
      </c>
      <c r="Q18" s="83">
        <v>246000</v>
      </c>
      <c r="R18" s="83">
        <v>315483</v>
      </c>
      <c r="S18" s="83"/>
      <c r="T18" s="41">
        <v>0.82592722904245242</v>
      </c>
      <c r="U18" s="16">
        <v>335854</v>
      </c>
      <c r="V18" s="28">
        <v>254648.6</v>
      </c>
      <c r="W18" s="28"/>
      <c r="X18" s="12">
        <v>0.83243321469081244</v>
      </c>
      <c r="Y18" s="28">
        <v>650650</v>
      </c>
      <c r="Z18" s="28">
        <v>283482.13999999996</v>
      </c>
      <c r="AA18" s="28"/>
      <c r="AB18" s="12">
        <v>0.79942505593614599</v>
      </c>
      <c r="AC18" s="28"/>
      <c r="AD18" s="28"/>
      <c r="AE18" s="28"/>
      <c r="AF18" s="12"/>
    </row>
    <row r="19" spans="1:32" ht="15.75" customHeight="1">
      <c r="A19" s="123" t="s">
        <v>51</v>
      </c>
      <c r="B19" s="123"/>
      <c r="C19" s="107">
        <f t="shared" ref="C19:D23" si="5">K19</f>
        <v>8786551</v>
      </c>
      <c r="D19" s="107">
        <f t="shared" si="5"/>
        <v>14901677</v>
      </c>
      <c r="E19" s="106">
        <f t="shared" si="0"/>
        <v>1.6959643209263795</v>
      </c>
      <c r="F19" s="108">
        <f t="shared" si="1"/>
        <v>6115126</v>
      </c>
      <c r="G19" s="14">
        <f t="shared" si="2"/>
        <v>8786551</v>
      </c>
      <c r="H19" s="27">
        <v>0</v>
      </c>
      <c r="I19" s="10">
        <v>1</v>
      </c>
      <c r="J19" s="21" t="str">
        <f t="shared" si="3"/>
        <v>Intergovernmental Revenue</v>
      </c>
      <c r="K19" s="83">
        <v>8786551</v>
      </c>
      <c r="L19" s="83">
        <f>2785664+56276+615084+90041+9148936+2205676</f>
        <v>14901677</v>
      </c>
      <c r="M19" s="41">
        <f t="shared" si="4"/>
        <v>1.6959643209263795</v>
      </c>
      <c r="N19" s="83">
        <v>9897851</v>
      </c>
      <c r="O19" s="83">
        <v>17199366</v>
      </c>
      <c r="P19" s="41">
        <v>1.3753679460319215</v>
      </c>
      <c r="Q19" s="83">
        <v>10310296</v>
      </c>
      <c r="R19" s="83">
        <v>19224767</v>
      </c>
      <c r="S19" s="83"/>
      <c r="T19" s="41">
        <v>0.7261304990803934</v>
      </c>
      <c r="U19" s="16">
        <v>10763558</v>
      </c>
      <c r="V19" s="28">
        <v>32364689.369999997</v>
      </c>
      <c r="W19" s="28"/>
      <c r="X19" s="12">
        <v>0.53449476746066449</v>
      </c>
      <c r="Y19" s="28">
        <v>9723482</v>
      </c>
      <c r="Z19" s="28">
        <v>18387550.899999999</v>
      </c>
      <c r="AA19" s="28"/>
      <c r="AB19" s="12">
        <v>0.65193959182069483</v>
      </c>
      <c r="AC19" s="28"/>
      <c r="AD19" s="28"/>
      <c r="AE19" s="28"/>
      <c r="AF19" s="12"/>
    </row>
    <row r="20" spans="1:32" ht="15.75" customHeight="1">
      <c r="A20" s="123" t="s">
        <v>2</v>
      </c>
      <c r="B20" s="123"/>
      <c r="C20" s="107">
        <f t="shared" si="5"/>
        <v>44239275</v>
      </c>
      <c r="D20" s="107">
        <f t="shared" si="5"/>
        <v>44048024</v>
      </c>
      <c r="E20" s="106">
        <f t="shared" si="0"/>
        <v>0.99567689569957918</v>
      </c>
      <c r="F20" s="108">
        <f t="shared" si="1"/>
        <v>-191251</v>
      </c>
      <c r="G20" s="14">
        <f t="shared" si="2"/>
        <v>44239275</v>
      </c>
      <c r="H20" s="27">
        <f t="shared" ref="H17:H24" si="6">C20-D20</f>
        <v>191251</v>
      </c>
      <c r="I20" s="10">
        <v>1</v>
      </c>
      <c r="J20" s="21" t="str">
        <f t="shared" si="3"/>
        <v>Fees/Charges for Services</v>
      </c>
      <c r="K20" s="83">
        <v>44239275</v>
      </c>
      <c r="L20" s="83">
        <f>7551475+6613206+9782994+27300+4662556+15410493</f>
        <v>44048024</v>
      </c>
      <c r="M20" s="41">
        <f t="shared" si="4"/>
        <v>0.99567689569957918</v>
      </c>
      <c r="N20" s="83">
        <v>39758436</v>
      </c>
      <c r="O20" s="83">
        <v>40712538</v>
      </c>
      <c r="P20" s="41">
        <v>0.80552856757242663</v>
      </c>
      <c r="Q20" s="83">
        <v>38925096</v>
      </c>
      <c r="R20" s="83">
        <v>38583245</v>
      </c>
      <c r="S20" s="83"/>
      <c r="T20" s="41">
        <v>0.75423697281296098</v>
      </c>
      <c r="U20" s="16">
        <v>40351226</v>
      </c>
      <c r="V20" s="28">
        <v>36866202.479999997</v>
      </c>
      <c r="W20" s="28"/>
      <c r="X20" s="12">
        <v>0.75913308111364508</v>
      </c>
      <c r="Y20" s="28">
        <v>38656872</v>
      </c>
      <c r="Z20" s="28">
        <v>38118100.980000004</v>
      </c>
      <c r="AA20" s="28"/>
      <c r="AB20" s="12">
        <v>0.70603104953920837</v>
      </c>
      <c r="AC20" s="28"/>
      <c r="AD20" s="28"/>
      <c r="AE20" s="28"/>
      <c r="AF20" s="12"/>
    </row>
    <row r="21" spans="1:32" ht="15.75" customHeight="1">
      <c r="A21" s="123" t="s">
        <v>4</v>
      </c>
      <c r="B21" s="123"/>
      <c r="C21" s="107">
        <f t="shared" si="5"/>
        <v>3669367</v>
      </c>
      <c r="D21" s="107">
        <f t="shared" si="5"/>
        <v>4078226</v>
      </c>
      <c r="E21" s="106">
        <f t="shared" si="0"/>
        <v>1.111424940596021</v>
      </c>
      <c r="F21" s="108">
        <f t="shared" si="1"/>
        <v>408859</v>
      </c>
      <c r="G21" s="14">
        <f t="shared" si="2"/>
        <v>3669367</v>
      </c>
      <c r="H21" s="27">
        <v>0</v>
      </c>
      <c r="I21" s="10">
        <v>1</v>
      </c>
      <c r="J21" s="21" t="str">
        <f t="shared" si="3"/>
        <v>Fines</v>
      </c>
      <c r="K21" s="83">
        <v>3669367</v>
      </c>
      <c r="L21" s="83">
        <v>4078226</v>
      </c>
      <c r="M21" s="41">
        <f t="shared" si="4"/>
        <v>1.111424940596021</v>
      </c>
      <c r="N21" s="83">
        <v>3622500</v>
      </c>
      <c r="O21" s="83">
        <v>4004514</v>
      </c>
      <c r="P21" s="41">
        <v>0.81297170462387858</v>
      </c>
      <c r="Q21" s="83">
        <v>3814000</v>
      </c>
      <c r="R21" s="83">
        <v>3808740</v>
      </c>
      <c r="S21" s="83"/>
      <c r="T21" s="41">
        <v>0.70160805615275945</v>
      </c>
      <c r="U21" s="16">
        <v>4596375</v>
      </c>
      <c r="V21" s="28">
        <v>3808418.44</v>
      </c>
      <c r="W21" s="28"/>
      <c r="X21" s="12">
        <v>0.74601284122335298</v>
      </c>
      <c r="Y21" s="28">
        <v>4675500</v>
      </c>
      <c r="Z21" s="28">
        <v>4422052.07</v>
      </c>
      <c r="AA21" s="28"/>
      <c r="AB21" s="12">
        <v>0.74249294946675537</v>
      </c>
      <c r="AC21" s="28"/>
      <c r="AD21" s="28"/>
      <c r="AE21" s="28"/>
      <c r="AF21" s="12"/>
    </row>
    <row r="22" spans="1:32" ht="15.75" customHeight="1">
      <c r="A22" s="123" t="s">
        <v>3</v>
      </c>
      <c r="B22" s="123"/>
      <c r="C22" s="107">
        <f t="shared" si="5"/>
        <v>2994718</v>
      </c>
      <c r="D22" s="107">
        <f t="shared" si="5"/>
        <v>2313518</v>
      </c>
      <c r="E22" s="106">
        <f t="shared" si="0"/>
        <v>0.77253283948605511</v>
      </c>
      <c r="F22" s="108">
        <f t="shared" si="1"/>
        <v>-681200</v>
      </c>
      <c r="G22" s="14">
        <f t="shared" si="2"/>
        <v>2994718</v>
      </c>
      <c r="H22" s="27">
        <f t="shared" si="6"/>
        <v>681200</v>
      </c>
      <c r="I22" s="10">
        <v>1</v>
      </c>
      <c r="J22" s="21" t="str">
        <f t="shared" si="3"/>
        <v>Investment Revenue</v>
      </c>
      <c r="K22" s="83">
        <v>2994718</v>
      </c>
      <c r="L22" s="83">
        <f>954230+1359288</f>
        <v>2313518</v>
      </c>
      <c r="M22" s="41">
        <f t="shared" si="4"/>
        <v>0.77253283948605511</v>
      </c>
      <c r="N22" s="83">
        <v>3963042</v>
      </c>
      <c r="O22" s="83">
        <v>2778600</v>
      </c>
      <c r="P22" s="41">
        <v>0.53453660092423949</v>
      </c>
      <c r="Q22" s="83">
        <v>3023647</v>
      </c>
      <c r="R22" s="83">
        <v>3762327</v>
      </c>
      <c r="S22" s="83"/>
      <c r="T22" s="41">
        <v>0.66109124245502449</v>
      </c>
      <c r="U22" s="16">
        <v>6218768</v>
      </c>
      <c r="V22" s="28">
        <v>5366504.47</v>
      </c>
      <c r="W22" s="28"/>
      <c r="X22" s="12">
        <v>0.93620944488505375</v>
      </c>
      <c r="Y22" s="28">
        <v>9130674</v>
      </c>
      <c r="Z22" s="28">
        <v>8323258.3000000017</v>
      </c>
      <c r="AA22" s="28"/>
      <c r="AB22" s="12">
        <v>0.98605817328150058</v>
      </c>
      <c r="AC22" s="28"/>
      <c r="AD22" s="28"/>
      <c r="AE22" s="28"/>
      <c r="AF22" s="12"/>
    </row>
    <row r="23" spans="1:32" ht="15.75" customHeight="1" thickBot="1">
      <c r="A23" s="123" t="s">
        <v>251</v>
      </c>
      <c r="B23" s="123"/>
      <c r="C23" s="107">
        <f t="shared" si="5"/>
        <v>22230295</v>
      </c>
      <c r="D23" s="107">
        <f t="shared" si="5"/>
        <v>92621813</v>
      </c>
      <c r="E23" s="106">
        <f t="shared" si="0"/>
        <v>4.1664680113331833</v>
      </c>
      <c r="F23" s="108">
        <f t="shared" si="1"/>
        <v>70391518</v>
      </c>
      <c r="G23" s="14">
        <f t="shared" si="2"/>
        <v>22230295</v>
      </c>
      <c r="H23" s="27">
        <v>0</v>
      </c>
      <c r="I23" s="10">
        <v>1</v>
      </c>
      <c r="J23" s="21" t="str">
        <f t="shared" si="3"/>
        <v>Misc., Transfers, Ins.</v>
      </c>
      <c r="K23" s="84">
        <f>21024295+876000+330000</f>
        <v>22230295</v>
      </c>
      <c r="L23" s="84">
        <f>3265132+1090472+20798834+24539+150192+1875075+55237+214483+49833386+11622552+3691911</f>
        <v>92621813</v>
      </c>
      <c r="M23" s="38">
        <f t="shared" si="4"/>
        <v>4.1664680113331833</v>
      </c>
      <c r="N23" s="84">
        <v>28888485</v>
      </c>
      <c r="O23" s="84">
        <v>36546451</v>
      </c>
      <c r="P23" s="38">
        <v>1.1448709061759383</v>
      </c>
      <c r="Q23" s="84">
        <v>29807534</v>
      </c>
      <c r="R23" s="84">
        <v>61632562</v>
      </c>
      <c r="S23" s="84"/>
      <c r="T23" s="38">
        <v>0.91803498131989469</v>
      </c>
      <c r="U23" s="32">
        <v>29809162</v>
      </c>
      <c r="V23" s="33">
        <v>34778633.700000003</v>
      </c>
      <c r="W23" s="33"/>
      <c r="X23" s="38">
        <v>0.84142731728142306</v>
      </c>
      <c r="Y23" s="33">
        <v>27526735</v>
      </c>
      <c r="Z23" s="33">
        <v>130175824.75999999</v>
      </c>
      <c r="AA23" s="33"/>
      <c r="AB23" s="38">
        <v>0.34505316458092422</v>
      </c>
      <c r="AC23" s="33"/>
      <c r="AD23" s="33"/>
      <c r="AE23" s="33"/>
      <c r="AF23" s="38"/>
    </row>
    <row r="24" spans="1:32" ht="15.75" customHeight="1" thickBot="1">
      <c r="A24" s="124" t="s">
        <v>28</v>
      </c>
      <c r="B24" s="124"/>
      <c r="C24" s="112">
        <f>SUM(C17:C23)</f>
        <v>260735775</v>
      </c>
      <c r="D24" s="112">
        <f>SUM(D17:D23)</f>
        <v>338788273</v>
      </c>
      <c r="E24" s="106">
        <f t="shared" si="0"/>
        <v>1.2993547701691492</v>
      </c>
      <c r="F24" s="116">
        <f>SUM(F17:F23)</f>
        <v>78052498</v>
      </c>
      <c r="G24" s="14">
        <f t="shared" si="2"/>
        <v>260735775</v>
      </c>
      <c r="H24" s="27">
        <v>0</v>
      </c>
      <c r="J24" s="21"/>
      <c r="K24" s="85">
        <f>SUM(K17:K23)</f>
        <v>260735775</v>
      </c>
      <c r="L24" s="85">
        <f>SUM(L17:L23)</f>
        <v>338788273</v>
      </c>
      <c r="M24" s="39">
        <f>(L24/K24)</f>
        <v>1.2993547701691492</v>
      </c>
      <c r="N24" s="85">
        <v>259331135</v>
      </c>
      <c r="O24" s="85">
        <f>SUM(O17:O23)</f>
        <v>276495631</v>
      </c>
      <c r="P24" s="39">
        <v>0.99571597525302935</v>
      </c>
      <c r="Q24" s="85">
        <v>256867802</v>
      </c>
      <c r="R24" s="85">
        <f>SUM(R17:R23)</f>
        <v>298083782</v>
      </c>
      <c r="S24" s="85"/>
      <c r="T24" s="39">
        <v>0.91905457539010493</v>
      </c>
      <c r="U24" s="31">
        <v>268005449</v>
      </c>
      <c r="V24" s="85">
        <f>SUM(V17:V23)</f>
        <v>288585774.52999997</v>
      </c>
      <c r="W24" s="31"/>
      <c r="X24" s="39">
        <v>0.90652222887707246</v>
      </c>
      <c r="Y24" s="31">
        <v>263954864</v>
      </c>
      <c r="Z24" s="85">
        <f>SUM(Z17:Z23)</f>
        <v>374289530.49000001</v>
      </c>
      <c r="AA24" s="31"/>
      <c r="AB24" s="39">
        <v>0.75995878423354668</v>
      </c>
      <c r="AC24" s="31"/>
      <c r="AD24" s="31"/>
      <c r="AE24" s="31"/>
      <c r="AF24" s="39"/>
    </row>
    <row r="25" spans="1:32" ht="22.5" customHeight="1" thickTop="1">
      <c r="A25" s="103"/>
      <c r="B25" s="103"/>
      <c r="C25" s="103"/>
      <c r="D25" s="103"/>
      <c r="E25" s="103"/>
      <c r="F25" s="103"/>
      <c r="J25" s="21"/>
      <c r="K25" s="21"/>
      <c r="L25" s="21"/>
      <c r="M25" s="21"/>
      <c r="N25" s="26"/>
    </row>
    <row r="26" spans="1:32" ht="15.75">
      <c r="A26" s="103"/>
      <c r="B26" s="103"/>
      <c r="C26" s="103"/>
      <c r="D26" s="103"/>
      <c r="E26" s="103"/>
      <c r="F26" s="103"/>
      <c r="J26" s="21"/>
      <c r="K26" s="21"/>
      <c r="L26" s="21"/>
      <c r="M26" s="21"/>
      <c r="N26" s="26"/>
    </row>
    <row r="27" spans="1:32" ht="15.75">
      <c r="A27" s="103"/>
      <c r="B27" s="103"/>
      <c r="C27" s="103"/>
      <c r="D27" s="103"/>
      <c r="E27" s="103"/>
      <c r="F27" s="103"/>
    </row>
    <row r="28" spans="1:32" ht="15.75">
      <c r="A28" s="103"/>
      <c r="B28" s="103"/>
      <c r="C28" s="103"/>
      <c r="D28" s="103"/>
      <c r="E28" s="103"/>
      <c r="F28" s="103"/>
      <c r="K28" s="92"/>
    </row>
    <row r="29" spans="1:32" ht="15.75">
      <c r="A29" s="103"/>
      <c r="B29" s="103"/>
      <c r="C29" s="103"/>
      <c r="D29" s="103"/>
      <c r="E29" s="103"/>
      <c r="F29" s="103"/>
      <c r="L29" s="92"/>
    </row>
    <row r="30" spans="1:32" ht="15.75">
      <c r="A30" s="103"/>
      <c r="B30" s="103"/>
      <c r="C30" s="103"/>
      <c r="D30" s="103"/>
      <c r="E30" s="103"/>
      <c r="F30" s="103"/>
    </row>
    <row r="31" spans="1:32" ht="15.75">
      <c r="A31" s="103"/>
      <c r="B31" s="103"/>
      <c r="C31" s="103"/>
      <c r="D31" s="103"/>
      <c r="E31" s="103"/>
      <c r="F31" s="103"/>
    </row>
    <row r="32" spans="1:32" ht="15.75">
      <c r="A32" s="103"/>
      <c r="B32" s="103"/>
      <c r="C32" s="103"/>
      <c r="D32" s="103"/>
      <c r="E32" s="103"/>
      <c r="F32" s="103"/>
    </row>
    <row r="33" spans="1:37" ht="15.75">
      <c r="A33" s="103"/>
      <c r="B33" s="103"/>
      <c r="C33" s="103"/>
      <c r="D33" s="103"/>
      <c r="E33" s="103"/>
      <c r="F33" s="103"/>
    </row>
    <row r="34" spans="1:37" ht="15.75">
      <c r="A34" s="103"/>
      <c r="B34" s="103"/>
      <c r="C34" s="103"/>
      <c r="D34" s="103"/>
      <c r="E34" s="103"/>
      <c r="F34" s="103"/>
    </row>
    <row r="35" spans="1:37" ht="15.75">
      <c r="A35" s="103"/>
      <c r="B35" s="103"/>
      <c r="C35" s="103"/>
      <c r="D35" s="103"/>
      <c r="E35" s="103"/>
      <c r="F35" s="103"/>
    </row>
    <row r="36" spans="1:37" ht="15.75">
      <c r="A36" s="103"/>
      <c r="B36" s="103"/>
      <c r="C36" s="103"/>
      <c r="D36" s="103"/>
      <c r="E36" s="103"/>
      <c r="F36" s="103"/>
    </row>
    <row r="37" spans="1:37" ht="15.75">
      <c r="A37" s="103"/>
      <c r="B37" s="103"/>
      <c r="C37" s="103"/>
      <c r="D37" s="103"/>
      <c r="E37" s="103"/>
      <c r="F37" s="103"/>
    </row>
    <row r="38" spans="1:37" ht="15.75">
      <c r="A38" s="103"/>
      <c r="B38" s="103"/>
      <c r="C38" s="103"/>
      <c r="D38" s="103"/>
      <c r="E38" s="103"/>
      <c r="F38" s="103"/>
    </row>
    <row r="39" spans="1:37" ht="15.75">
      <c r="A39" s="103"/>
      <c r="B39" s="103"/>
      <c r="C39" s="103"/>
      <c r="D39" s="103"/>
      <c r="E39" s="103"/>
      <c r="F39" s="103"/>
    </row>
    <row r="40" spans="1:37" ht="15.75">
      <c r="A40" s="103"/>
      <c r="B40" s="103"/>
      <c r="C40" s="103"/>
      <c r="D40" s="103"/>
      <c r="E40" s="103"/>
      <c r="F40" s="103"/>
      <c r="J40" s="35"/>
      <c r="K40" s="35"/>
      <c r="L40" s="35"/>
      <c r="M40" s="35"/>
      <c r="N40" s="35"/>
    </row>
    <row r="41" spans="1:37" ht="15.75">
      <c r="A41" s="103"/>
      <c r="B41" s="103"/>
      <c r="C41" s="103"/>
      <c r="D41" s="103"/>
      <c r="E41" s="103"/>
      <c r="F41" s="103"/>
      <c r="J41" s="35"/>
      <c r="K41" s="35"/>
      <c r="L41" s="35"/>
      <c r="M41" s="35"/>
      <c r="N41" s="35"/>
    </row>
    <row r="42" spans="1:37" ht="15.75">
      <c r="A42" s="103"/>
      <c r="B42" s="103"/>
      <c r="C42" s="103"/>
      <c r="D42" s="103"/>
      <c r="E42" s="103"/>
      <c r="F42" s="103"/>
      <c r="J42" s="35"/>
      <c r="K42" s="35"/>
      <c r="L42" s="35"/>
      <c r="M42" s="35"/>
      <c r="N42" s="35"/>
    </row>
    <row r="43" spans="1:37" ht="15.75">
      <c r="A43" s="103"/>
      <c r="B43" s="103"/>
      <c r="C43" s="103"/>
      <c r="D43" s="103"/>
      <c r="E43" s="103"/>
      <c r="F43" s="103"/>
      <c r="J43" s="35"/>
      <c r="K43" s="35"/>
      <c r="L43" s="35"/>
      <c r="M43" s="35"/>
      <c r="N43" s="35"/>
    </row>
    <row r="44" spans="1:37" ht="15.75">
      <c r="A44" s="103"/>
      <c r="B44" s="103"/>
      <c r="C44" s="103"/>
      <c r="D44" s="103"/>
      <c r="E44" s="103"/>
      <c r="F44" s="103"/>
      <c r="J44" s="35"/>
      <c r="K44" s="35"/>
      <c r="L44" s="35"/>
      <c r="M44" s="35"/>
      <c r="N44" s="35"/>
    </row>
    <row r="45" spans="1:37" ht="15.75">
      <c r="A45" s="103"/>
      <c r="B45" s="103"/>
      <c r="C45" s="103"/>
      <c r="D45" s="103"/>
      <c r="E45" s="103"/>
      <c r="F45" s="103"/>
      <c r="J45" s="35"/>
      <c r="K45" s="35"/>
      <c r="L45" s="35"/>
      <c r="M45" s="35"/>
      <c r="N45" s="35"/>
    </row>
    <row r="46" spans="1:37" ht="33" customHeight="1">
      <c r="A46" s="125" t="s">
        <v>173</v>
      </c>
      <c r="B46" s="125"/>
      <c r="C46" s="125"/>
      <c r="D46" s="125"/>
      <c r="E46" s="125"/>
      <c r="F46" s="125"/>
      <c r="J46" s="35"/>
      <c r="K46" s="35"/>
      <c r="L46" s="35"/>
      <c r="M46" s="35"/>
      <c r="N46" s="35"/>
    </row>
    <row r="47" spans="1:37" ht="6.75" customHeight="1">
      <c r="A47" s="103"/>
      <c r="B47" s="101"/>
      <c r="C47" s="101"/>
      <c r="D47" s="101"/>
      <c r="E47" s="101"/>
      <c r="F47" s="103"/>
      <c r="J47" s="35"/>
      <c r="K47" s="35"/>
      <c r="L47" s="35"/>
      <c r="M47" s="35"/>
      <c r="N47" s="35"/>
    </row>
    <row r="48" spans="1:37" ht="36" customHeight="1">
      <c r="A48" s="126"/>
      <c r="B48" s="126"/>
      <c r="C48" s="118" t="s">
        <v>238</v>
      </c>
      <c r="D48" s="105" t="s">
        <v>265</v>
      </c>
      <c r="E48" s="118" t="s">
        <v>25</v>
      </c>
      <c r="F48" s="105" t="s">
        <v>263</v>
      </c>
      <c r="G48" s="10">
        <v>1</v>
      </c>
      <c r="H48" s="2" t="s">
        <v>43</v>
      </c>
      <c r="K48" s="40" t="s">
        <v>238</v>
      </c>
      <c r="L48" s="36" t="s">
        <v>266</v>
      </c>
      <c r="M48" s="37">
        <v>2013</v>
      </c>
      <c r="N48" s="40" t="s">
        <v>196</v>
      </c>
      <c r="O48" s="36" t="s">
        <v>233</v>
      </c>
      <c r="P48" s="37">
        <v>2012</v>
      </c>
      <c r="Q48" s="36" t="s">
        <v>201</v>
      </c>
      <c r="R48" s="40" t="s">
        <v>151</v>
      </c>
      <c r="S48" s="36" t="s">
        <v>234</v>
      </c>
      <c r="T48" s="37">
        <v>2011</v>
      </c>
      <c r="U48" s="36" t="s">
        <v>156</v>
      </c>
      <c r="V48" s="40" t="s">
        <v>94</v>
      </c>
      <c r="W48" s="36" t="s">
        <v>235</v>
      </c>
      <c r="X48" s="37">
        <v>2010</v>
      </c>
      <c r="Y48" s="36" t="s">
        <v>109</v>
      </c>
      <c r="Z48" s="36" t="s">
        <v>1</v>
      </c>
      <c r="AA48" s="36" t="s">
        <v>236</v>
      </c>
      <c r="AB48" s="37">
        <v>2009</v>
      </c>
      <c r="AC48" s="36" t="s">
        <v>111</v>
      </c>
      <c r="AD48" s="36">
        <v>2009</v>
      </c>
      <c r="AE48" s="36" t="s">
        <v>112</v>
      </c>
      <c r="AF48" s="36"/>
      <c r="AG48" s="36"/>
      <c r="AH48" s="37"/>
      <c r="AI48" s="36"/>
      <c r="AJ48" s="36"/>
      <c r="AK48" s="36"/>
    </row>
    <row r="49" spans="1:37" ht="15.75" customHeight="1">
      <c r="A49" s="119" t="s">
        <v>29</v>
      </c>
      <c r="B49" s="120"/>
      <c r="C49" s="113">
        <f>K49</f>
        <v>306822</v>
      </c>
      <c r="D49" s="112">
        <f>L49</f>
        <v>286962</v>
      </c>
      <c r="E49" s="106">
        <f t="shared" ref="E49:E62" si="7">(D49/C49)</f>
        <v>0.93527191661614872</v>
      </c>
      <c r="F49" s="113">
        <f>+G49-D49</f>
        <v>19860</v>
      </c>
      <c r="G49" s="23">
        <f>C49*1</f>
        <v>306822</v>
      </c>
      <c r="H49" s="24">
        <f t="shared" ref="H49:H62" si="8">C49-D49</f>
        <v>19860</v>
      </c>
      <c r="I49" s="1">
        <v>1</v>
      </c>
      <c r="J49" s="35" t="s">
        <v>29</v>
      </c>
      <c r="K49" s="13">
        <v>306822</v>
      </c>
      <c r="L49" s="82">
        <v>286962</v>
      </c>
      <c r="M49" s="41">
        <f t="shared" ref="M49:M62" si="9">(L49/K49)</f>
        <v>0.93527191661614872</v>
      </c>
      <c r="N49" s="13">
        <v>304283</v>
      </c>
      <c r="O49" s="82">
        <v>236867</v>
      </c>
      <c r="P49" s="41">
        <v>0.59865322742315541</v>
      </c>
      <c r="Q49" s="13"/>
      <c r="R49" s="13">
        <v>359430</v>
      </c>
      <c r="S49" s="82">
        <v>286971</v>
      </c>
      <c r="T49" s="41">
        <v>0.59350638510975706</v>
      </c>
      <c r="U49" s="13"/>
      <c r="V49" s="13">
        <v>346531</v>
      </c>
      <c r="W49" s="13">
        <v>277303.21999999997</v>
      </c>
      <c r="X49" s="41">
        <v>0.58335889141231234</v>
      </c>
      <c r="Y49" s="13"/>
      <c r="Z49" s="13">
        <v>351630</v>
      </c>
      <c r="AA49" s="13">
        <v>321178.05000000005</v>
      </c>
      <c r="AB49" s="41">
        <v>0.63328731905696334</v>
      </c>
      <c r="AC49" s="13"/>
      <c r="AD49" s="41"/>
      <c r="AE49" s="13"/>
      <c r="AF49" s="13"/>
      <c r="AG49" s="13"/>
      <c r="AH49" s="41"/>
      <c r="AI49" s="13"/>
      <c r="AJ49" s="41"/>
      <c r="AK49" s="13"/>
    </row>
    <row r="50" spans="1:37" ht="15.75" customHeight="1">
      <c r="A50" s="119" t="s">
        <v>116</v>
      </c>
      <c r="B50" s="120"/>
      <c r="C50" s="110">
        <f>K50</f>
        <v>868091</v>
      </c>
      <c r="D50" s="110">
        <f>L50</f>
        <v>821914</v>
      </c>
      <c r="E50" s="106">
        <f t="shared" si="7"/>
        <v>0.94680626800646472</v>
      </c>
      <c r="F50" s="108">
        <f t="shared" ref="F50:F62" si="10">+G50-D50</f>
        <v>46177</v>
      </c>
      <c r="G50" s="23">
        <f t="shared" ref="G50:G62" si="11">C50*1</f>
        <v>868091</v>
      </c>
      <c r="H50" s="24">
        <f t="shared" si="8"/>
        <v>46177</v>
      </c>
      <c r="I50" s="1">
        <v>1</v>
      </c>
      <c r="J50" s="35" t="s">
        <v>116</v>
      </c>
      <c r="K50" s="83">
        <v>868091</v>
      </c>
      <c r="L50" s="86">
        <v>821914</v>
      </c>
      <c r="M50" s="41">
        <f t="shared" si="9"/>
        <v>0.94680626800646472</v>
      </c>
      <c r="N50" s="83">
        <v>1166679</v>
      </c>
      <c r="O50" s="86">
        <v>1092081</v>
      </c>
      <c r="P50" s="41">
        <v>0.77490209389215026</v>
      </c>
      <c r="Q50" s="42"/>
      <c r="R50" s="83">
        <v>1134812</v>
      </c>
      <c r="S50" s="86">
        <v>1040599</v>
      </c>
      <c r="T50" s="41">
        <v>0.74170964001085637</v>
      </c>
      <c r="U50" s="42"/>
      <c r="V50" s="42">
        <v>1078918</v>
      </c>
      <c r="W50" s="42">
        <v>3117445.65</v>
      </c>
      <c r="X50" s="41">
        <v>1.8363813375993354</v>
      </c>
      <c r="Y50" s="42"/>
      <c r="Z50" s="42">
        <v>1209220</v>
      </c>
      <c r="AA50" s="42">
        <v>3982344.4200000009</v>
      </c>
      <c r="AB50" s="41">
        <v>1.8164928879773741</v>
      </c>
      <c r="AC50" s="42"/>
      <c r="AD50" s="41"/>
      <c r="AE50" s="42"/>
      <c r="AF50" s="42"/>
      <c r="AG50" s="42"/>
      <c r="AH50" s="41"/>
      <c r="AI50" s="42"/>
      <c r="AJ50" s="41"/>
      <c r="AK50" s="13"/>
    </row>
    <row r="51" spans="1:37" ht="15.75" customHeight="1">
      <c r="A51" s="119" t="s">
        <v>131</v>
      </c>
      <c r="B51" s="120"/>
      <c r="C51" s="110">
        <f t="shared" ref="C51:D61" si="12">K51</f>
        <v>44841468</v>
      </c>
      <c r="D51" s="110">
        <f t="shared" si="12"/>
        <v>49771094</v>
      </c>
      <c r="E51" s="106">
        <f t="shared" si="7"/>
        <v>1.1099345364875208</v>
      </c>
      <c r="F51" s="108">
        <f t="shared" si="10"/>
        <v>-4929626</v>
      </c>
      <c r="G51" s="23">
        <f t="shared" si="11"/>
        <v>44841468</v>
      </c>
      <c r="H51" s="24">
        <v>0</v>
      </c>
      <c r="I51" s="1">
        <v>1</v>
      </c>
      <c r="J51" s="35" t="s">
        <v>131</v>
      </c>
      <c r="K51" s="83">
        <v>44841468</v>
      </c>
      <c r="L51" s="86">
        <v>49771094</v>
      </c>
      <c r="M51" s="41">
        <f t="shared" si="9"/>
        <v>1.1099345364875208</v>
      </c>
      <c r="N51" s="83">
        <v>43927702</v>
      </c>
      <c r="O51" s="86">
        <v>43097539</v>
      </c>
      <c r="P51" s="41">
        <v>0.81763031901828143</v>
      </c>
      <c r="Q51" s="42"/>
      <c r="R51" s="83">
        <v>43487800</v>
      </c>
      <c r="S51" s="86">
        <v>45582071</v>
      </c>
      <c r="T51" s="41">
        <v>0.86153305064868768</v>
      </c>
      <c r="U51" s="42"/>
      <c r="V51" s="42">
        <v>43665123</v>
      </c>
      <c r="W51" s="42">
        <v>43835701.119999997</v>
      </c>
      <c r="X51" s="41">
        <v>0.80285417059285502</v>
      </c>
      <c r="Y51" s="42"/>
      <c r="Z51" s="42">
        <v>42789548</v>
      </c>
      <c r="AA51" s="42">
        <v>47909345.829999998</v>
      </c>
      <c r="AB51" s="41">
        <v>0.79487038587086734</v>
      </c>
      <c r="AC51" s="42"/>
      <c r="AD51" s="41"/>
      <c r="AE51" s="42"/>
      <c r="AF51" s="42"/>
      <c r="AG51" s="42"/>
      <c r="AH51" s="41"/>
      <c r="AI51" s="42"/>
      <c r="AJ51" s="41"/>
      <c r="AK51" s="13"/>
    </row>
    <row r="52" spans="1:37" ht="15.75" customHeight="1">
      <c r="A52" s="119" t="s">
        <v>30</v>
      </c>
      <c r="B52" s="120"/>
      <c r="C52" s="110">
        <f t="shared" si="12"/>
        <v>3847599</v>
      </c>
      <c r="D52" s="110">
        <f t="shared" si="12"/>
        <v>3508061</v>
      </c>
      <c r="E52" s="106">
        <f t="shared" si="7"/>
        <v>0.91175327782339066</v>
      </c>
      <c r="F52" s="108">
        <f t="shared" si="10"/>
        <v>339538</v>
      </c>
      <c r="G52" s="23">
        <f t="shared" si="11"/>
        <v>3847599</v>
      </c>
      <c r="H52" s="24">
        <f t="shared" si="8"/>
        <v>339538</v>
      </c>
      <c r="I52" s="1">
        <v>1</v>
      </c>
      <c r="J52" s="35" t="s">
        <v>30</v>
      </c>
      <c r="K52" s="83">
        <v>3847599</v>
      </c>
      <c r="L52" s="86">
        <v>3508061</v>
      </c>
      <c r="M52" s="41">
        <f t="shared" si="9"/>
        <v>0.91175327782339066</v>
      </c>
      <c r="N52" s="83">
        <v>3539581</v>
      </c>
      <c r="O52" s="86">
        <v>2684971</v>
      </c>
      <c r="P52" s="41">
        <v>0.56812063348740993</v>
      </c>
      <c r="Q52" s="42"/>
      <c r="R52" s="83">
        <v>2892101</v>
      </c>
      <c r="S52" s="86">
        <v>2590338</v>
      </c>
      <c r="T52" s="41">
        <v>0.68182819341371548</v>
      </c>
      <c r="U52" s="42"/>
      <c r="V52" s="42">
        <v>3263326</v>
      </c>
      <c r="W52" s="42">
        <v>2817949.94</v>
      </c>
      <c r="X52" s="41">
        <v>0.71256320085703972</v>
      </c>
      <c r="Y52" s="42"/>
      <c r="Z52" s="42">
        <v>3360551</v>
      </c>
      <c r="AA52" s="42">
        <v>3420570.5100000002</v>
      </c>
      <c r="AB52" s="41">
        <v>0.82191295713113721</v>
      </c>
      <c r="AC52" s="42"/>
      <c r="AD52" s="41"/>
      <c r="AE52" s="42"/>
      <c r="AF52" s="42"/>
      <c r="AG52" s="42"/>
      <c r="AH52" s="41"/>
      <c r="AI52" s="42"/>
      <c r="AJ52" s="41"/>
      <c r="AK52" s="13"/>
    </row>
    <row r="53" spans="1:37" ht="15.75" customHeight="1">
      <c r="A53" s="119" t="s">
        <v>15</v>
      </c>
      <c r="B53" s="120"/>
      <c r="C53" s="110">
        <f t="shared" si="12"/>
        <v>10587235</v>
      </c>
      <c r="D53" s="110">
        <f t="shared" si="12"/>
        <v>9597607</v>
      </c>
      <c r="E53" s="106">
        <f t="shared" si="7"/>
        <v>0.90652630266542678</v>
      </c>
      <c r="F53" s="108">
        <f t="shared" si="10"/>
        <v>989628</v>
      </c>
      <c r="G53" s="23">
        <f t="shared" si="11"/>
        <v>10587235</v>
      </c>
      <c r="H53" s="24">
        <f t="shared" si="8"/>
        <v>989628</v>
      </c>
      <c r="I53" s="1">
        <v>1</v>
      </c>
      <c r="J53" s="35" t="s">
        <v>15</v>
      </c>
      <c r="K53" s="83">
        <v>10587235</v>
      </c>
      <c r="L53" s="86">
        <v>9597607</v>
      </c>
      <c r="M53" s="41">
        <f t="shared" si="9"/>
        <v>0.90652630266542678</v>
      </c>
      <c r="N53" s="83">
        <v>10245180</v>
      </c>
      <c r="O53" s="86">
        <v>9524685</v>
      </c>
      <c r="P53" s="41">
        <v>0.7182275958060278</v>
      </c>
      <c r="Q53" s="42"/>
      <c r="R53" s="83">
        <v>10586321</v>
      </c>
      <c r="S53" s="86">
        <v>9806126</v>
      </c>
      <c r="T53" s="41">
        <v>0.71069212807735571</v>
      </c>
      <c r="U53" s="42"/>
      <c r="V53" s="42">
        <v>10604579</v>
      </c>
      <c r="W53" s="42">
        <v>9887771.1099999994</v>
      </c>
      <c r="X53" s="41">
        <v>0.7212154428761387</v>
      </c>
      <c r="Y53" s="42"/>
      <c r="Z53" s="42">
        <v>10906229</v>
      </c>
      <c r="AA53" s="42">
        <v>10176911.580000002</v>
      </c>
      <c r="AB53" s="41">
        <v>0.66761999220812263</v>
      </c>
      <c r="AC53" s="42"/>
      <c r="AD53" s="41"/>
      <c r="AE53" s="42"/>
      <c r="AF53" s="42"/>
      <c r="AG53" s="42"/>
      <c r="AH53" s="41"/>
      <c r="AI53" s="42"/>
      <c r="AJ53" s="41"/>
      <c r="AK53" s="13"/>
    </row>
    <row r="54" spans="1:37" ht="15.75" customHeight="1">
      <c r="A54" s="119" t="s">
        <v>14</v>
      </c>
      <c r="B54" s="120"/>
      <c r="C54" s="110">
        <f t="shared" si="12"/>
        <v>37241658</v>
      </c>
      <c r="D54" s="110">
        <f t="shared" si="12"/>
        <v>26096761</v>
      </c>
      <c r="E54" s="106">
        <f t="shared" si="7"/>
        <v>0.70074111630583147</v>
      </c>
      <c r="F54" s="108">
        <f t="shared" si="10"/>
        <v>11144897</v>
      </c>
      <c r="G54" s="23">
        <f t="shared" si="11"/>
        <v>37241658</v>
      </c>
      <c r="H54" s="24">
        <f t="shared" si="8"/>
        <v>11144897</v>
      </c>
      <c r="I54" s="1">
        <v>1</v>
      </c>
      <c r="J54" s="35" t="s">
        <v>205</v>
      </c>
      <c r="K54" s="83">
        <v>37241658</v>
      </c>
      <c r="L54" s="86">
        <v>26096761</v>
      </c>
      <c r="M54" s="41">
        <f t="shared" si="9"/>
        <v>0.70074111630583147</v>
      </c>
      <c r="N54" s="83">
        <v>35621648</v>
      </c>
      <c r="O54" s="86">
        <v>27002589</v>
      </c>
      <c r="P54" s="41">
        <v>0.58363798889933449</v>
      </c>
      <c r="Q54" s="42"/>
      <c r="R54" s="83">
        <v>41179358</v>
      </c>
      <c r="S54" s="86">
        <v>65556394</v>
      </c>
      <c r="T54" s="41">
        <v>0.57871788579122574</v>
      </c>
      <c r="U54" s="42"/>
      <c r="V54" s="42">
        <v>40714461</v>
      </c>
      <c r="W54" s="42">
        <v>36772209.93</v>
      </c>
      <c r="X54" s="41">
        <v>0.65417901271000489</v>
      </c>
      <c r="Y54" s="42"/>
      <c r="Z54" s="42">
        <v>39128938</v>
      </c>
      <c r="AA54" s="42">
        <v>29393444.119999997</v>
      </c>
      <c r="AB54" s="41">
        <v>0.57483186816877063</v>
      </c>
      <c r="AC54" s="42"/>
      <c r="AD54" s="41"/>
      <c r="AE54" s="42"/>
      <c r="AF54" s="42"/>
      <c r="AG54" s="42"/>
      <c r="AH54" s="41"/>
      <c r="AI54" s="42"/>
      <c r="AJ54" s="41"/>
      <c r="AK54" s="13"/>
    </row>
    <row r="55" spans="1:37" ht="15.75" customHeight="1">
      <c r="A55" s="119" t="s">
        <v>117</v>
      </c>
      <c r="B55" s="120"/>
      <c r="C55" s="110">
        <f t="shared" si="12"/>
        <v>18059452</v>
      </c>
      <c r="D55" s="110">
        <f t="shared" si="12"/>
        <v>16649432</v>
      </c>
      <c r="E55" s="106">
        <f t="shared" si="7"/>
        <v>0.92192343377861075</v>
      </c>
      <c r="F55" s="108">
        <f t="shared" si="10"/>
        <v>1410020</v>
      </c>
      <c r="G55" s="23">
        <f t="shared" si="11"/>
        <v>18059452</v>
      </c>
      <c r="H55" s="24">
        <f t="shared" si="8"/>
        <v>1410020</v>
      </c>
      <c r="I55" s="1">
        <v>1</v>
      </c>
      <c r="J55" s="35" t="s">
        <v>117</v>
      </c>
      <c r="K55" s="83">
        <v>18059452</v>
      </c>
      <c r="L55" s="86">
        <v>16649432</v>
      </c>
      <c r="M55" s="41">
        <f t="shared" si="9"/>
        <v>0.92192343377861075</v>
      </c>
      <c r="N55" s="83">
        <v>17339921</v>
      </c>
      <c r="O55" s="86">
        <v>15882947</v>
      </c>
      <c r="P55" s="41">
        <v>0.70715293339571728</v>
      </c>
      <c r="Q55" s="42"/>
      <c r="R55" s="83">
        <v>19492602</v>
      </c>
      <c r="S55" s="86">
        <v>17647243</v>
      </c>
      <c r="T55" s="41">
        <v>0.70139204606958061</v>
      </c>
      <c r="U55" s="42"/>
      <c r="V55" s="42">
        <v>17404071</v>
      </c>
      <c r="W55" s="42">
        <v>18387852.719999999</v>
      </c>
      <c r="X55" s="41">
        <v>0.79098047807320482</v>
      </c>
      <c r="Y55" s="42"/>
      <c r="Z55" s="42">
        <v>17368061</v>
      </c>
      <c r="AA55" s="42">
        <v>16970444.879999999</v>
      </c>
      <c r="AB55" s="41">
        <v>0.69861526280912989</v>
      </c>
      <c r="AC55" s="42"/>
      <c r="AD55" s="41"/>
      <c r="AE55" s="42"/>
      <c r="AF55" s="42"/>
      <c r="AG55" s="42"/>
      <c r="AH55" s="41"/>
      <c r="AI55" s="42"/>
      <c r="AJ55" s="41"/>
      <c r="AK55" s="13"/>
    </row>
    <row r="56" spans="1:37" ht="15.75" customHeight="1">
      <c r="A56" s="119" t="s">
        <v>31</v>
      </c>
      <c r="B56" s="120"/>
      <c r="C56" s="110">
        <f t="shared" si="12"/>
        <v>17302343</v>
      </c>
      <c r="D56" s="110">
        <f t="shared" si="12"/>
        <v>15582846</v>
      </c>
      <c r="E56" s="106">
        <f t="shared" si="7"/>
        <v>0.90062056913332489</v>
      </c>
      <c r="F56" s="108">
        <f t="shared" si="10"/>
        <v>1719497</v>
      </c>
      <c r="G56" s="23">
        <f t="shared" si="11"/>
        <v>17302343</v>
      </c>
      <c r="H56" s="24">
        <f t="shared" si="8"/>
        <v>1719497</v>
      </c>
      <c r="I56" s="1">
        <v>1</v>
      </c>
      <c r="J56" s="35" t="s">
        <v>31</v>
      </c>
      <c r="K56" s="83">
        <v>17302343</v>
      </c>
      <c r="L56" s="86">
        <v>15582846</v>
      </c>
      <c r="M56" s="41">
        <f t="shared" si="9"/>
        <v>0.90062056913332489</v>
      </c>
      <c r="N56" s="83">
        <v>17000798</v>
      </c>
      <c r="O56" s="86">
        <v>15262536</v>
      </c>
      <c r="P56" s="41">
        <v>0.68900265740467004</v>
      </c>
      <c r="Q56" s="42"/>
      <c r="R56" s="83">
        <v>17117766</v>
      </c>
      <c r="S56" s="86">
        <v>15673919</v>
      </c>
      <c r="T56" s="41">
        <v>0.69853566172127834</v>
      </c>
      <c r="U56" s="42"/>
      <c r="V56" s="42">
        <v>17413314</v>
      </c>
      <c r="W56" s="42">
        <v>15762855.52</v>
      </c>
      <c r="X56" s="41">
        <v>0.68862151052924214</v>
      </c>
      <c r="Y56" s="42"/>
      <c r="Z56" s="42">
        <v>17278014</v>
      </c>
      <c r="AA56" s="42">
        <v>15536742.649999999</v>
      </c>
      <c r="AB56" s="41">
        <v>0.66091763845080798</v>
      </c>
      <c r="AC56" s="42"/>
      <c r="AD56" s="41"/>
      <c r="AE56" s="42"/>
      <c r="AF56" s="42"/>
      <c r="AG56" s="42"/>
      <c r="AH56" s="41"/>
      <c r="AI56" s="42"/>
      <c r="AJ56" s="41"/>
      <c r="AK56" s="13"/>
    </row>
    <row r="57" spans="1:37" ht="15.75" customHeight="1">
      <c r="A57" s="119" t="s">
        <v>32</v>
      </c>
      <c r="B57" s="120"/>
      <c r="C57" s="110">
        <f t="shared" si="12"/>
        <v>10551894</v>
      </c>
      <c r="D57" s="110">
        <f t="shared" si="12"/>
        <v>9814909</v>
      </c>
      <c r="E57" s="106">
        <f t="shared" si="7"/>
        <v>0.93015614068905539</v>
      </c>
      <c r="F57" s="108">
        <f t="shared" si="10"/>
        <v>736985</v>
      </c>
      <c r="G57" s="23">
        <f t="shared" si="11"/>
        <v>10551894</v>
      </c>
      <c r="H57" s="24">
        <f t="shared" si="8"/>
        <v>736985</v>
      </c>
      <c r="I57" s="1">
        <v>1</v>
      </c>
      <c r="J57" s="35" t="s">
        <v>32</v>
      </c>
      <c r="K57" s="83">
        <v>10551894</v>
      </c>
      <c r="L57" s="86">
        <v>9814909</v>
      </c>
      <c r="M57" s="41">
        <f t="shared" si="9"/>
        <v>0.93015614068905539</v>
      </c>
      <c r="N57" s="83">
        <v>10468040</v>
      </c>
      <c r="O57" s="86">
        <v>9758255</v>
      </c>
      <c r="P57" s="41">
        <v>0.71233717104634675</v>
      </c>
      <c r="Q57" s="42"/>
      <c r="R57" s="83">
        <v>10895570</v>
      </c>
      <c r="S57" s="86">
        <v>10282513</v>
      </c>
      <c r="T57" s="41">
        <v>0.72441157277682577</v>
      </c>
      <c r="U57" s="42"/>
      <c r="V57" s="42">
        <v>10775827</v>
      </c>
      <c r="W57" s="42">
        <v>10557932.050000001</v>
      </c>
      <c r="X57" s="41">
        <v>0.73895144196357276</v>
      </c>
      <c r="Y57" s="42"/>
      <c r="Z57" s="42">
        <v>10462445</v>
      </c>
      <c r="AA57" s="42">
        <v>10216079.879999999</v>
      </c>
      <c r="AB57" s="41">
        <v>0.70593584482403493</v>
      </c>
      <c r="AC57" s="42"/>
      <c r="AD57" s="41"/>
      <c r="AE57" s="42"/>
      <c r="AF57" s="42"/>
      <c r="AG57" s="42"/>
      <c r="AH57" s="41"/>
      <c r="AI57" s="42"/>
      <c r="AJ57" s="41"/>
      <c r="AK57" s="13"/>
    </row>
    <row r="58" spans="1:37" ht="15.75" customHeight="1">
      <c r="A58" s="119" t="s">
        <v>33</v>
      </c>
      <c r="B58" s="120"/>
      <c r="C58" s="110">
        <f t="shared" si="12"/>
        <v>12219036</v>
      </c>
      <c r="D58" s="110">
        <f t="shared" si="12"/>
        <v>11748944</v>
      </c>
      <c r="E58" s="106">
        <f t="shared" si="7"/>
        <v>0.961527897945468</v>
      </c>
      <c r="F58" s="108">
        <f t="shared" si="10"/>
        <v>470092</v>
      </c>
      <c r="G58" s="23">
        <f t="shared" si="11"/>
        <v>12219036</v>
      </c>
      <c r="H58" s="24">
        <f t="shared" si="8"/>
        <v>470092</v>
      </c>
      <c r="I58" s="1">
        <v>1</v>
      </c>
      <c r="J58" s="35" t="s">
        <v>33</v>
      </c>
      <c r="K58" s="83">
        <v>12219036</v>
      </c>
      <c r="L58" s="86">
        <v>11748944</v>
      </c>
      <c r="M58" s="41">
        <f t="shared" si="9"/>
        <v>0.961527897945468</v>
      </c>
      <c r="N58" s="83">
        <v>13924247</v>
      </c>
      <c r="O58" s="86">
        <v>12270694</v>
      </c>
      <c r="P58" s="41">
        <v>0.62502905902200667</v>
      </c>
      <c r="Q58" s="42"/>
      <c r="R58" s="83">
        <v>11591817</v>
      </c>
      <c r="S58" s="86">
        <v>20809245</v>
      </c>
      <c r="T58" s="41">
        <v>1.4698695640208952</v>
      </c>
      <c r="U58" s="42"/>
      <c r="V58" s="42">
        <v>13414559</v>
      </c>
      <c r="W58" s="42">
        <v>20392925.18</v>
      </c>
      <c r="X58" s="41">
        <v>0.9000369978618008</v>
      </c>
      <c r="Y58" s="42"/>
      <c r="Z58" s="42">
        <v>13483773</v>
      </c>
      <c r="AA58" s="42">
        <v>19505932.360000003</v>
      </c>
      <c r="AB58" s="41">
        <v>1.1890314728674238</v>
      </c>
      <c r="AC58" s="42"/>
      <c r="AD58" s="41"/>
      <c r="AE58" s="42"/>
      <c r="AF58" s="42"/>
      <c r="AG58" s="42"/>
      <c r="AH58" s="41"/>
      <c r="AI58" s="42"/>
      <c r="AJ58" s="41"/>
      <c r="AK58" s="13"/>
    </row>
    <row r="59" spans="1:37" ht="15.75" customHeight="1">
      <c r="A59" s="119" t="s">
        <v>34</v>
      </c>
      <c r="B59" s="120"/>
      <c r="C59" s="110">
        <f t="shared" si="12"/>
        <v>62722061</v>
      </c>
      <c r="D59" s="110">
        <f t="shared" si="12"/>
        <v>61077820</v>
      </c>
      <c r="E59" s="106">
        <f t="shared" si="7"/>
        <v>0.97378528425588562</v>
      </c>
      <c r="F59" s="108">
        <f t="shared" si="10"/>
        <v>1644241</v>
      </c>
      <c r="G59" s="23">
        <f t="shared" si="11"/>
        <v>62722061</v>
      </c>
      <c r="H59" s="24">
        <f t="shared" si="8"/>
        <v>1644241</v>
      </c>
      <c r="I59" s="1">
        <v>1</v>
      </c>
      <c r="J59" s="35" t="s">
        <v>34</v>
      </c>
      <c r="K59" s="83">
        <v>62722061</v>
      </c>
      <c r="L59" s="86">
        <v>61077820</v>
      </c>
      <c r="M59" s="41">
        <f t="shared" si="9"/>
        <v>0.97378528425588562</v>
      </c>
      <c r="N59" s="83">
        <v>63810544</v>
      </c>
      <c r="O59" s="86">
        <v>61276435</v>
      </c>
      <c r="P59" s="41">
        <v>0.73529943577976709</v>
      </c>
      <c r="Q59" s="42"/>
      <c r="R59" s="83">
        <v>65349602</v>
      </c>
      <c r="S59" s="86">
        <v>63192389</v>
      </c>
      <c r="T59" s="41">
        <v>0.73576741905788501</v>
      </c>
      <c r="U59" s="42"/>
      <c r="V59" s="42">
        <v>65544767</v>
      </c>
      <c r="W59" s="42">
        <v>64205573.079999998</v>
      </c>
      <c r="X59" s="41">
        <v>0.73650506561416262</v>
      </c>
      <c r="Y59" s="42"/>
      <c r="Z59" s="42">
        <v>65608655</v>
      </c>
      <c r="AA59" s="42">
        <v>62502496.940000005</v>
      </c>
      <c r="AB59" s="41">
        <v>0.69285779414316595</v>
      </c>
      <c r="AC59" s="42"/>
      <c r="AD59" s="41"/>
      <c r="AE59" s="42"/>
      <c r="AF59" s="42"/>
      <c r="AG59" s="42"/>
      <c r="AH59" s="41"/>
      <c r="AI59" s="42"/>
      <c r="AJ59" s="41"/>
      <c r="AK59" s="13"/>
    </row>
    <row r="60" spans="1:37" ht="15.75" customHeight="1">
      <c r="A60" s="119" t="s">
        <v>132</v>
      </c>
      <c r="B60" s="120"/>
      <c r="C60" s="110">
        <f t="shared" si="12"/>
        <v>20550895</v>
      </c>
      <c r="D60" s="110">
        <f t="shared" si="12"/>
        <v>19879777</v>
      </c>
      <c r="E60" s="106">
        <f t="shared" si="7"/>
        <v>0.96734361204220054</v>
      </c>
      <c r="F60" s="108">
        <f t="shared" si="10"/>
        <v>671118</v>
      </c>
      <c r="G60" s="23">
        <f t="shared" si="11"/>
        <v>20550895</v>
      </c>
      <c r="H60" s="24">
        <f t="shared" si="8"/>
        <v>671118</v>
      </c>
      <c r="I60" s="1">
        <v>1</v>
      </c>
      <c r="J60" s="35" t="s">
        <v>132</v>
      </c>
      <c r="K60" s="83">
        <v>20550895</v>
      </c>
      <c r="L60" s="86">
        <v>19879777</v>
      </c>
      <c r="M60" s="41">
        <f t="shared" si="9"/>
        <v>0.96734361204220054</v>
      </c>
      <c r="N60" s="83">
        <v>19894693</v>
      </c>
      <c r="O60" s="86">
        <v>20280198</v>
      </c>
      <c r="P60" s="41">
        <v>0.79064899367886698</v>
      </c>
      <c r="Q60" s="42"/>
      <c r="R60" s="83">
        <v>19688923</v>
      </c>
      <c r="S60" s="86">
        <v>23410627</v>
      </c>
      <c r="T60" s="41">
        <v>0.88446711889726015</v>
      </c>
      <c r="U60" s="42"/>
      <c r="V60" s="42">
        <v>19347332</v>
      </c>
      <c r="W60" s="42">
        <v>56132638.170000002</v>
      </c>
      <c r="X60" s="41">
        <v>2.3730917420551836</v>
      </c>
      <c r="Y60" s="42"/>
      <c r="Z60" s="42">
        <v>19861346</v>
      </c>
      <c r="AA60" s="42">
        <v>56241618.839999996</v>
      </c>
      <c r="AB60" s="41">
        <v>2.0922673523738018</v>
      </c>
      <c r="AC60" s="42"/>
      <c r="AD60" s="41"/>
      <c r="AE60" s="42"/>
      <c r="AF60" s="42"/>
      <c r="AG60" s="42"/>
      <c r="AH60" s="41"/>
      <c r="AI60" s="42"/>
      <c r="AJ60" s="41"/>
      <c r="AK60" s="13"/>
    </row>
    <row r="61" spans="1:37" ht="15.75" customHeight="1" thickBot="1">
      <c r="A61" s="119" t="s">
        <v>255</v>
      </c>
      <c r="B61" s="120"/>
      <c r="C61" s="110">
        <f t="shared" si="12"/>
        <v>20015145</v>
      </c>
      <c r="D61" s="110">
        <f t="shared" si="12"/>
        <v>79773256</v>
      </c>
      <c r="E61" s="106">
        <f t="shared" si="7"/>
        <v>3.9856446705732083</v>
      </c>
      <c r="F61" s="108">
        <f t="shared" si="10"/>
        <v>-59758111</v>
      </c>
      <c r="G61" s="23">
        <f t="shared" si="11"/>
        <v>20015145</v>
      </c>
      <c r="H61" s="24">
        <v>0</v>
      </c>
      <c r="I61" s="1">
        <v>1</v>
      </c>
      <c r="J61" s="35" t="s">
        <v>255</v>
      </c>
      <c r="K61" s="84">
        <v>20015145</v>
      </c>
      <c r="L61" s="87">
        <v>79773256</v>
      </c>
      <c r="M61" s="38">
        <f t="shared" si="9"/>
        <v>3.9856446705732083</v>
      </c>
      <c r="N61" s="84">
        <v>27624277</v>
      </c>
      <c r="O61" s="87">
        <v>32055498</v>
      </c>
      <c r="P61" s="38">
        <v>0.93346091917627383</v>
      </c>
      <c r="Q61" s="44"/>
      <c r="R61" s="84">
        <v>28150079</v>
      </c>
      <c r="S61" s="87">
        <v>55646322</v>
      </c>
      <c r="T61" s="38">
        <v>1.7594773712713203</v>
      </c>
      <c r="U61" s="44"/>
      <c r="V61" s="44">
        <v>26609348</v>
      </c>
      <c r="W61" s="44">
        <v>33042450.420000002</v>
      </c>
      <c r="X61" s="38">
        <v>0.98265315858171343</v>
      </c>
      <c r="Y61" s="44"/>
      <c r="Z61" s="44">
        <v>27673796</v>
      </c>
      <c r="AA61" s="44">
        <v>81259893.120000005</v>
      </c>
      <c r="AB61" s="38">
        <v>0.89304128280775075</v>
      </c>
      <c r="AC61" s="44"/>
      <c r="AD61" s="38"/>
      <c r="AE61" s="44"/>
      <c r="AF61" s="44"/>
      <c r="AG61" s="44"/>
      <c r="AH61" s="38"/>
      <c r="AI61" s="44"/>
      <c r="AJ61" s="38"/>
      <c r="AK61" s="45"/>
    </row>
    <row r="62" spans="1:37" ht="15.75" customHeight="1" thickBot="1">
      <c r="A62" s="121" t="s">
        <v>28</v>
      </c>
      <c r="B62" s="122"/>
      <c r="C62" s="112">
        <f>SUM(C49:C61)</f>
        <v>259113699</v>
      </c>
      <c r="D62" s="112">
        <f>SUM(D49:D61)</f>
        <v>304609383</v>
      </c>
      <c r="E62" s="106">
        <f t="shared" si="7"/>
        <v>1.1755819324705021</v>
      </c>
      <c r="F62" s="114">
        <f t="shared" si="10"/>
        <v>-45495684</v>
      </c>
      <c r="G62" s="23">
        <f t="shared" si="11"/>
        <v>259113699</v>
      </c>
      <c r="H62" s="24">
        <v>0</v>
      </c>
      <c r="J62" s="30"/>
      <c r="K62" s="43">
        <f>SUM(K49:K61)</f>
        <v>259113699</v>
      </c>
      <c r="L62" s="43">
        <f>SUM(L49:L61)</f>
        <v>304609383</v>
      </c>
      <c r="M62" s="39">
        <f t="shared" si="9"/>
        <v>1.1755819324705021</v>
      </c>
      <c r="N62" s="43">
        <v>264867593</v>
      </c>
      <c r="O62" s="43">
        <f>SUM(O49:O61)</f>
        <v>250425295</v>
      </c>
      <c r="P62" s="39">
        <v>0.73898596194061383</v>
      </c>
      <c r="Q62" s="43"/>
      <c r="R62" s="43">
        <v>271926181</v>
      </c>
      <c r="S62" s="43">
        <f>SUM(S49:S61)</f>
        <v>331524757</v>
      </c>
      <c r="T62" s="39">
        <v>0.87315743238419552</v>
      </c>
      <c r="U62" s="43"/>
      <c r="V62" s="43">
        <v>270182156</v>
      </c>
      <c r="W62" s="43">
        <f>SUM(W49:W61)</f>
        <v>315190608.11000001</v>
      </c>
      <c r="X62" s="39">
        <v>0.88820418943581181</v>
      </c>
      <c r="Y62" s="43"/>
      <c r="Z62" s="43">
        <v>269482206</v>
      </c>
      <c r="AA62" s="43">
        <f>SUM(AA49:AA61)</f>
        <v>357437003.18000001</v>
      </c>
      <c r="AB62" s="39">
        <v>0.84482447252936621</v>
      </c>
      <c r="AC62" s="43"/>
      <c r="AD62" s="39"/>
      <c r="AE62" s="43"/>
      <c r="AF62" s="43"/>
      <c r="AG62" s="43"/>
      <c r="AH62" s="39"/>
      <c r="AI62" s="43"/>
      <c r="AJ62" s="39"/>
      <c r="AK62" s="43"/>
    </row>
    <row r="63" spans="1:37" ht="16.5" thickTop="1">
      <c r="A63" s="103"/>
      <c r="B63" s="103"/>
      <c r="C63" s="103"/>
      <c r="D63" s="103"/>
      <c r="E63" s="103"/>
      <c r="F63" s="103"/>
      <c r="J63" s="79"/>
      <c r="K63" s="79"/>
      <c r="L63" s="79"/>
      <c r="M63" s="79"/>
    </row>
    <row r="64" spans="1:37" ht="15.75">
      <c r="A64" s="103"/>
      <c r="B64" s="103"/>
      <c r="C64" s="103"/>
      <c r="D64" s="103"/>
      <c r="E64" s="103"/>
      <c r="F64" s="103"/>
      <c r="J64" s="79"/>
      <c r="K64" s="79"/>
      <c r="L64" s="79"/>
      <c r="M64" s="79"/>
    </row>
    <row r="65" spans="1:13" ht="15.75">
      <c r="A65" s="103"/>
      <c r="B65" s="103"/>
      <c r="C65" s="103"/>
      <c r="D65" s="103"/>
      <c r="E65" s="103"/>
      <c r="F65" s="103"/>
      <c r="J65" s="79"/>
      <c r="K65" s="79"/>
      <c r="L65" s="79"/>
      <c r="M65" s="79"/>
    </row>
    <row r="66" spans="1:13" ht="15.75">
      <c r="A66" s="103"/>
      <c r="B66" s="103"/>
      <c r="C66" s="103"/>
      <c r="D66" s="103"/>
      <c r="E66" s="103"/>
      <c r="F66" s="103"/>
      <c r="J66" s="79"/>
      <c r="K66" s="79"/>
      <c r="L66" s="79"/>
      <c r="M66" s="79"/>
    </row>
    <row r="67" spans="1:13" ht="15.75">
      <c r="A67" s="103"/>
      <c r="B67" s="103"/>
      <c r="C67" s="103"/>
      <c r="D67" s="103"/>
      <c r="E67" s="103"/>
      <c r="F67" s="103"/>
      <c r="J67" s="79"/>
      <c r="K67" s="79"/>
      <c r="L67" s="79"/>
      <c r="M67" s="79"/>
    </row>
    <row r="68" spans="1:13" ht="15.75">
      <c r="A68" s="103"/>
      <c r="B68" s="103"/>
      <c r="C68" s="103"/>
      <c r="D68" s="103"/>
      <c r="E68" s="103"/>
      <c r="F68" s="103"/>
      <c r="J68" s="79"/>
      <c r="K68" s="79"/>
      <c r="L68" s="79"/>
      <c r="M68" s="79"/>
    </row>
    <row r="69" spans="1:13" ht="15.75">
      <c r="A69" s="103"/>
      <c r="B69" s="103"/>
      <c r="C69" s="103"/>
      <c r="D69" s="103"/>
      <c r="E69" s="103"/>
      <c r="F69" s="103"/>
      <c r="J69" s="79"/>
      <c r="K69" s="79"/>
      <c r="L69" s="79"/>
      <c r="M69" s="79"/>
    </row>
    <row r="70" spans="1:13" ht="15.75">
      <c r="A70" s="103"/>
      <c r="B70" s="103"/>
      <c r="C70" s="103"/>
      <c r="D70" s="103"/>
      <c r="E70" s="103"/>
      <c r="F70" s="103"/>
      <c r="J70" s="79"/>
      <c r="K70" s="79"/>
      <c r="L70" s="79"/>
      <c r="M70" s="79"/>
    </row>
    <row r="71" spans="1:13" ht="15.75">
      <c r="A71" s="103"/>
      <c r="B71" s="103"/>
      <c r="C71" s="103"/>
      <c r="D71" s="103"/>
      <c r="E71" s="103"/>
      <c r="F71" s="103"/>
      <c r="J71" s="79"/>
      <c r="K71" s="79"/>
      <c r="L71" s="79"/>
      <c r="M71" s="79"/>
    </row>
    <row r="72" spans="1:13" ht="15.75">
      <c r="A72" s="103"/>
      <c r="B72" s="103"/>
      <c r="C72" s="103"/>
      <c r="D72" s="103"/>
      <c r="E72" s="103"/>
      <c r="F72" s="103"/>
      <c r="J72" s="79"/>
      <c r="K72" s="79"/>
      <c r="L72" s="79"/>
      <c r="M72" s="79"/>
    </row>
    <row r="73" spans="1:13" ht="15.75">
      <c r="A73" s="103"/>
      <c r="B73" s="103"/>
      <c r="C73" s="103"/>
      <c r="D73" s="103"/>
      <c r="E73" s="103"/>
      <c r="F73" s="103"/>
      <c r="J73" s="79"/>
      <c r="K73" s="79"/>
      <c r="L73" s="79"/>
      <c r="M73" s="79"/>
    </row>
    <row r="74" spans="1:13" ht="15.75">
      <c r="A74" s="103"/>
      <c r="B74" s="103"/>
      <c r="C74" s="103"/>
      <c r="D74" s="103"/>
      <c r="E74" s="103"/>
      <c r="F74" s="103"/>
      <c r="J74" s="79"/>
      <c r="K74" s="79"/>
      <c r="L74" s="79"/>
      <c r="M74" s="79"/>
    </row>
    <row r="75" spans="1:13" ht="15.75">
      <c r="A75" s="103"/>
      <c r="B75" s="103"/>
      <c r="C75" s="103"/>
      <c r="D75" s="103"/>
      <c r="E75" s="103"/>
      <c r="F75" s="103"/>
      <c r="J75" s="79"/>
      <c r="K75" s="79"/>
      <c r="L75" s="79"/>
      <c r="M75" s="79"/>
    </row>
    <row r="76" spans="1:13" ht="15.75">
      <c r="A76" s="103"/>
      <c r="B76" s="103"/>
      <c r="C76" s="103"/>
      <c r="D76" s="103"/>
      <c r="E76" s="103"/>
      <c r="F76" s="103"/>
      <c r="J76" s="80"/>
      <c r="K76" s="80"/>
      <c r="L76" s="80"/>
      <c r="M76" s="80"/>
    </row>
    <row r="77" spans="1:13" ht="15.75">
      <c r="A77" s="103"/>
      <c r="B77" s="103"/>
      <c r="C77" s="103"/>
      <c r="D77" s="103"/>
      <c r="E77" s="103"/>
      <c r="F77" s="103"/>
      <c r="J77" s="81"/>
      <c r="K77" s="81"/>
      <c r="L77" s="81"/>
      <c r="M77" s="81"/>
    </row>
    <row r="78" spans="1:13" ht="15.75">
      <c r="A78" s="103"/>
      <c r="B78" s="103"/>
      <c r="C78" s="103"/>
      <c r="D78" s="103"/>
      <c r="E78" s="103"/>
      <c r="F78" s="103"/>
    </row>
    <row r="79" spans="1:13" ht="15.75">
      <c r="A79" s="103"/>
      <c r="B79" s="103"/>
      <c r="C79" s="103"/>
      <c r="D79" s="103"/>
      <c r="E79" s="103"/>
      <c r="F79" s="103"/>
    </row>
    <row r="80" spans="1:13" ht="15.75">
      <c r="A80" s="103"/>
      <c r="B80" s="103"/>
      <c r="C80" s="103"/>
      <c r="D80" s="103"/>
      <c r="E80" s="103"/>
      <c r="F80" s="103"/>
    </row>
    <row r="81" spans="1:6" ht="15.75">
      <c r="A81" s="103"/>
      <c r="B81" s="103"/>
      <c r="C81" s="103"/>
      <c r="D81" s="103"/>
      <c r="E81" s="103"/>
      <c r="F81" s="103"/>
    </row>
    <row r="82" spans="1:6" ht="15.75">
      <c r="A82" s="103"/>
      <c r="B82" s="103"/>
      <c r="C82" s="103"/>
      <c r="D82" s="103"/>
      <c r="E82" s="103"/>
      <c r="F82" s="103"/>
    </row>
    <row r="83" spans="1:6" ht="15.75">
      <c r="A83" s="103"/>
      <c r="B83" s="103"/>
      <c r="C83" s="103"/>
      <c r="D83" s="103"/>
      <c r="E83" s="103"/>
      <c r="F83" s="103"/>
    </row>
    <row r="84" spans="1:6" ht="15.75">
      <c r="A84" s="103"/>
      <c r="B84" s="103"/>
      <c r="C84" s="103"/>
      <c r="D84" s="103"/>
      <c r="E84" s="103"/>
      <c r="F84" s="103"/>
    </row>
    <row r="85" spans="1:6" ht="15.75">
      <c r="A85" s="103"/>
      <c r="B85" s="103"/>
      <c r="C85" s="103"/>
      <c r="D85" s="103"/>
      <c r="E85" s="103"/>
      <c r="F85" s="103"/>
    </row>
    <row r="86" spans="1:6" ht="15.75">
      <c r="A86" s="103"/>
      <c r="B86" s="103"/>
      <c r="C86" s="103"/>
      <c r="D86" s="103"/>
      <c r="E86" s="103"/>
      <c r="F86" s="103"/>
    </row>
    <row r="87" spans="1:6" ht="15.75">
      <c r="A87" s="103"/>
      <c r="B87" s="103"/>
      <c r="C87" s="103"/>
      <c r="D87" s="103"/>
      <c r="E87" s="103"/>
      <c r="F87" s="103"/>
    </row>
    <row r="88" spans="1:6" ht="15.75">
      <c r="A88" s="103"/>
      <c r="B88" s="103"/>
      <c r="C88" s="103"/>
      <c r="D88" s="103"/>
      <c r="E88" s="103"/>
      <c r="F88" s="103"/>
    </row>
    <row r="89" spans="1:6" ht="15.75">
      <c r="A89" s="103"/>
      <c r="B89" s="103"/>
      <c r="C89" s="103"/>
      <c r="D89" s="103"/>
      <c r="E89" s="103"/>
      <c r="F89" s="103"/>
    </row>
    <row r="90" spans="1:6" ht="15.75">
      <c r="A90" s="103"/>
      <c r="B90" s="103"/>
      <c r="C90" s="103"/>
      <c r="D90" s="103"/>
      <c r="E90" s="103"/>
      <c r="F90" s="103"/>
    </row>
    <row r="91" spans="1:6" ht="15.75">
      <c r="A91" s="103"/>
      <c r="B91" s="103"/>
      <c r="C91" s="103"/>
      <c r="D91" s="103"/>
      <c r="E91" s="103"/>
      <c r="F91" s="103"/>
    </row>
    <row r="92" spans="1:6" ht="15.75">
      <c r="A92" s="103"/>
      <c r="B92" s="103"/>
      <c r="C92" s="103"/>
      <c r="D92" s="103"/>
      <c r="E92" s="103"/>
      <c r="F92" s="103"/>
    </row>
    <row r="93" spans="1:6" ht="15.75">
      <c r="A93" s="103"/>
      <c r="B93" s="103"/>
      <c r="C93" s="103"/>
      <c r="D93" s="103"/>
      <c r="E93" s="103"/>
      <c r="F93" s="103"/>
    </row>
    <row r="94" spans="1:6" ht="15.75">
      <c r="A94" s="103"/>
      <c r="B94" s="103"/>
      <c r="C94" s="103"/>
      <c r="D94" s="103"/>
      <c r="E94" s="103"/>
      <c r="F94" s="103"/>
    </row>
    <row r="95" spans="1:6" ht="15.75">
      <c r="A95" s="103"/>
      <c r="B95" s="103"/>
      <c r="C95" s="103"/>
      <c r="D95" s="103"/>
      <c r="E95" s="103"/>
      <c r="F95" s="103"/>
    </row>
    <row r="96" spans="1:6" ht="15.75">
      <c r="A96" s="103"/>
      <c r="B96" s="103"/>
      <c r="C96" s="103"/>
      <c r="D96" s="103"/>
      <c r="E96" s="103"/>
      <c r="F96" s="103"/>
    </row>
    <row r="97" spans="1:6" ht="15.75">
      <c r="A97" s="103"/>
      <c r="B97" s="103"/>
      <c r="C97" s="103"/>
      <c r="D97" s="103"/>
      <c r="E97" s="103"/>
      <c r="F97" s="103"/>
    </row>
    <row r="98" spans="1:6" ht="15.75">
      <c r="A98" s="103"/>
      <c r="B98" s="103"/>
      <c r="C98" s="103"/>
      <c r="D98" s="103"/>
      <c r="E98" s="103"/>
      <c r="F98" s="103"/>
    </row>
    <row r="99" spans="1:6" ht="15.75">
      <c r="A99" s="103"/>
      <c r="B99" s="103"/>
      <c r="C99" s="103"/>
      <c r="D99" s="103"/>
      <c r="E99" s="103"/>
      <c r="F99" s="103"/>
    </row>
    <row r="100" spans="1:6" ht="15.75">
      <c r="A100" s="103"/>
      <c r="B100" s="103"/>
      <c r="C100" s="103"/>
      <c r="D100" s="103"/>
      <c r="E100" s="103"/>
      <c r="F100" s="103"/>
    </row>
    <row r="101" spans="1:6" ht="15.75">
      <c r="A101" s="103"/>
      <c r="B101" s="103"/>
      <c r="C101" s="103"/>
      <c r="D101" s="103"/>
      <c r="E101" s="103"/>
      <c r="F101" s="103"/>
    </row>
    <row r="102" spans="1:6" ht="15.75">
      <c r="A102" s="103"/>
      <c r="B102" s="103"/>
      <c r="C102" s="103"/>
      <c r="D102" s="103"/>
      <c r="E102" s="103"/>
      <c r="F102" s="103"/>
    </row>
    <row r="103" spans="1:6" ht="15.75">
      <c r="A103" s="103"/>
      <c r="B103" s="103"/>
      <c r="C103" s="103"/>
      <c r="D103" s="103"/>
      <c r="E103" s="103"/>
      <c r="F103" s="103"/>
    </row>
    <row r="104" spans="1:6" ht="15.75">
      <c r="A104" s="103"/>
      <c r="B104" s="103"/>
      <c r="C104" s="103"/>
      <c r="D104" s="103"/>
      <c r="E104" s="103"/>
      <c r="F104" s="103"/>
    </row>
    <row r="105" spans="1:6" ht="15.75">
      <c r="A105" s="103"/>
      <c r="B105" s="103"/>
      <c r="C105" s="103"/>
      <c r="D105" s="103"/>
      <c r="E105" s="103"/>
      <c r="F105" s="103"/>
    </row>
    <row r="106" spans="1:6" ht="15.75">
      <c r="A106" s="103"/>
      <c r="B106" s="103"/>
      <c r="C106" s="103"/>
      <c r="D106" s="103"/>
      <c r="E106" s="103"/>
      <c r="F106" s="103"/>
    </row>
    <row r="107" spans="1:6" ht="15.75">
      <c r="A107" s="103"/>
      <c r="B107" s="103"/>
      <c r="C107" s="103"/>
      <c r="D107" s="103"/>
      <c r="E107" s="103"/>
      <c r="F107" s="103"/>
    </row>
    <row r="108" spans="1:6" ht="15.75">
      <c r="A108" s="103"/>
      <c r="B108" s="103"/>
      <c r="C108" s="103"/>
      <c r="D108" s="103"/>
      <c r="E108" s="103"/>
      <c r="F108" s="103"/>
    </row>
    <row r="109" spans="1:6" ht="15.75">
      <c r="A109" s="103"/>
      <c r="B109" s="103"/>
      <c r="C109" s="103"/>
      <c r="D109" s="103"/>
      <c r="E109" s="103"/>
      <c r="F109" s="103"/>
    </row>
    <row r="110" spans="1:6" ht="15.75">
      <c r="A110" s="103"/>
      <c r="B110" s="103"/>
      <c r="C110" s="103"/>
      <c r="D110" s="103"/>
      <c r="E110" s="103"/>
      <c r="F110" s="103"/>
    </row>
    <row r="111" spans="1:6" ht="15.75">
      <c r="A111" s="103"/>
      <c r="B111" s="103"/>
      <c r="C111" s="103"/>
      <c r="D111" s="103"/>
      <c r="E111" s="103"/>
      <c r="F111" s="103"/>
    </row>
    <row r="112" spans="1:6" ht="15.75">
      <c r="A112" s="103"/>
      <c r="B112" s="103"/>
      <c r="C112" s="103"/>
      <c r="D112" s="103"/>
      <c r="E112" s="103"/>
      <c r="F112" s="103"/>
    </row>
    <row r="113" spans="1:6" ht="5.25" customHeight="1">
      <c r="A113" s="103"/>
      <c r="B113" s="103"/>
      <c r="C113" s="103"/>
      <c r="D113" s="103"/>
      <c r="E113" s="103"/>
      <c r="F113" s="103"/>
    </row>
    <row r="114" spans="1:6" ht="15.75">
      <c r="A114" s="103"/>
      <c r="B114" s="103"/>
      <c r="C114" s="103"/>
      <c r="D114" s="103"/>
      <c r="E114" s="103"/>
      <c r="F114" s="103"/>
    </row>
    <row r="115" spans="1:6" ht="15.75">
      <c r="A115" s="103"/>
      <c r="B115" s="103"/>
      <c r="C115" s="103"/>
      <c r="D115" s="103"/>
      <c r="E115" s="103"/>
      <c r="F115" s="103"/>
    </row>
    <row r="116" spans="1:6" ht="15.75">
      <c r="A116" s="103"/>
      <c r="B116" s="103"/>
      <c r="C116" s="103"/>
      <c r="D116" s="103"/>
      <c r="E116" s="103"/>
      <c r="F116" s="103"/>
    </row>
    <row r="117" spans="1:6" ht="15.75">
      <c r="A117" s="103"/>
      <c r="B117" s="103"/>
      <c r="C117" s="103"/>
      <c r="D117" s="103"/>
      <c r="E117" s="103"/>
      <c r="F117" s="103"/>
    </row>
    <row r="118" spans="1:6" ht="15.75">
      <c r="A118" s="103"/>
      <c r="B118" s="103"/>
      <c r="C118" s="103"/>
      <c r="D118" s="103"/>
      <c r="E118" s="103"/>
      <c r="F118" s="103"/>
    </row>
    <row r="119" spans="1:6" ht="15.75">
      <c r="A119" s="103"/>
      <c r="B119" s="103"/>
      <c r="C119" s="103"/>
      <c r="D119" s="103"/>
      <c r="E119" s="103"/>
      <c r="F119" s="103"/>
    </row>
    <row r="120" spans="1:6" ht="15.75">
      <c r="A120" s="103"/>
      <c r="B120" s="103"/>
      <c r="C120" s="103"/>
      <c r="D120" s="103"/>
      <c r="E120" s="103"/>
      <c r="F120" s="103"/>
    </row>
    <row r="121" spans="1:6" ht="15.75">
      <c r="A121" s="103"/>
      <c r="B121" s="103"/>
      <c r="C121" s="103"/>
      <c r="D121" s="103"/>
      <c r="E121" s="103"/>
      <c r="F121" s="103"/>
    </row>
    <row r="122" spans="1:6" ht="15.75">
      <c r="A122" s="103"/>
      <c r="B122" s="103"/>
      <c r="C122" s="103"/>
      <c r="D122" s="103"/>
      <c r="E122" s="103"/>
      <c r="F122" s="103"/>
    </row>
    <row r="123" spans="1:6" ht="15.75">
      <c r="A123" s="103"/>
      <c r="B123" s="103"/>
      <c r="C123" s="103"/>
      <c r="D123" s="103"/>
      <c r="E123" s="103"/>
      <c r="F123" s="103"/>
    </row>
    <row r="124" spans="1:6" ht="15.75">
      <c r="A124" s="103"/>
      <c r="B124" s="103"/>
      <c r="C124" s="103"/>
      <c r="D124" s="103"/>
      <c r="E124" s="103"/>
      <c r="F124" s="103"/>
    </row>
    <row r="125" spans="1:6" ht="15.75">
      <c r="A125" s="103"/>
      <c r="B125" s="103"/>
      <c r="C125" s="103"/>
      <c r="D125" s="103"/>
      <c r="E125" s="103"/>
      <c r="F125" s="103"/>
    </row>
    <row r="126" spans="1:6" ht="15.75">
      <c r="A126" s="103"/>
      <c r="B126" s="103"/>
      <c r="C126" s="103"/>
      <c r="D126" s="103"/>
      <c r="E126" s="103"/>
      <c r="F126" s="103"/>
    </row>
    <row r="127" spans="1:6" ht="15.75">
      <c r="A127" s="103"/>
      <c r="B127" s="103"/>
      <c r="C127" s="103"/>
      <c r="D127" s="103"/>
      <c r="E127" s="103"/>
      <c r="F127" s="103"/>
    </row>
    <row r="128" spans="1:6" ht="15.75">
      <c r="A128" s="103"/>
      <c r="B128" s="103"/>
      <c r="C128" s="103"/>
      <c r="D128" s="103"/>
      <c r="E128" s="103"/>
      <c r="F128" s="103"/>
    </row>
    <row r="129" spans="1:6" ht="15.75">
      <c r="A129" s="103"/>
      <c r="B129" s="103"/>
      <c r="C129" s="103"/>
      <c r="D129" s="103"/>
      <c r="E129" s="103"/>
      <c r="F129" s="103"/>
    </row>
    <row r="130" spans="1:6" ht="15.75">
      <c r="A130" s="103"/>
      <c r="B130" s="103"/>
      <c r="C130" s="103"/>
      <c r="D130" s="103"/>
      <c r="E130" s="103"/>
      <c r="F130" s="103"/>
    </row>
    <row r="131" spans="1:6" ht="15.75">
      <c r="A131" s="103"/>
      <c r="B131" s="103"/>
      <c r="C131" s="103"/>
      <c r="D131" s="103"/>
      <c r="E131" s="103"/>
      <c r="F131" s="103"/>
    </row>
    <row r="132" spans="1:6" ht="15.75">
      <c r="A132" s="103"/>
      <c r="B132" s="103"/>
      <c r="C132" s="103"/>
      <c r="D132" s="103"/>
      <c r="E132" s="103"/>
      <c r="F132" s="103"/>
    </row>
    <row r="133" spans="1:6" ht="15.75">
      <c r="A133" s="103"/>
      <c r="B133" s="103"/>
      <c r="C133" s="103"/>
      <c r="D133" s="103"/>
      <c r="E133" s="103"/>
      <c r="F133" s="103"/>
    </row>
    <row r="134" spans="1:6" ht="15.75">
      <c r="A134" s="103"/>
      <c r="B134" s="103"/>
      <c r="C134" s="103"/>
      <c r="D134" s="103"/>
      <c r="E134" s="103"/>
      <c r="F134" s="103"/>
    </row>
    <row r="135" spans="1:6" ht="15.75">
      <c r="A135" s="103"/>
      <c r="B135" s="103"/>
      <c r="C135" s="103"/>
      <c r="D135" s="103"/>
      <c r="E135" s="103"/>
      <c r="F135" s="103"/>
    </row>
    <row r="136" spans="1:6" ht="15.75">
      <c r="A136" s="103"/>
      <c r="B136" s="103"/>
      <c r="C136" s="103"/>
      <c r="D136" s="103"/>
      <c r="E136" s="103"/>
      <c r="F136" s="103"/>
    </row>
    <row r="137" spans="1:6" ht="15.75">
      <c r="A137" s="103"/>
      <c r="B137" s="103"/>
      <c r="C137" s="103"/>
      <c r="D137" s="103"/>
      <c r="E137" s="103"/>
      <c r="F137" s="103"/>
    </row>
    <row r="138" spans="1:6" ht="15.75">
      <c r="A138" s="103"/>
      <c r="B138" s="103"/>
      <c r="C138" s="103"/>
      <c r="D138" s="103"/>
      <c r="E138" s="103"/>
      <c r="F138" s="103"/>
    </row>
    <row r="139" spans="1:6" ht="15.75">
      <c r="A139" s="103"/>
      <c r="B139" s="103"/>
      <c r="C139" s="103"/>
      <c r="D139" s="103"/>
      <c r="E139" s="103"/>
      <c r="F139" s="103"/>
    </row>
    <row r="140" spans="1:6" ht="15.75">
      <c r="A140" s="103"/>
      <c r="B140" s="103"/>
      <c r="C140" s="103"/>
      <c r="D140" s="103"/>
      <c r="E140" s="103"/>
      <c r="F140" s="103"/>
    </row>
    <row r="141" spans="1:6" ht="15.75">
      <c r="A141" s="103"/>
      <c r="B141" s="103"/>
      <c r="C141" s="103"/>
      <c r="D141" s="103"/>
      <c r="E141" s="103"/>
      <c r="F141" s="103"/>
    </row>
    <row r="142" spans="1:6" ht="15.75">
      <c r="A142" s="103"/>
      <c r="B142" s="103"/>
      <c r="C142" s="103"/>
      <c r="D142" s="103"/>
      <c r="E142" s="103"/>
      <c r="F142" s="103"/>
    </row>
    <row r="143" spans="1:6" ht="15.75">
      <c r="A143" s="103"/>
      <c r="B143" s="103"/>
      <c r="C143" s="103"/>
      <c r="D143" s="103"/>
      <c r="E143" s="103"/>
      <c r="F143" s="103"/>
    </row>
    <row r="144" spans="1:6" ht="15.75">
      <c r="A144" s="103"/>
      <c r="B144" s="103"/>
      <c r="C144" s="103"/>
      <c r="D144" s="103"/>
      <c r="E144" s="103"/>
      <c r="F144" s="103"/>
    </row>
    <row r="145" spans="1:6" ht="15.75">
      <c r="A145" s="103"/>
      <c r="B145" s="103"/>
      <c r="C145" s="103"/>
      <c r="D145" s="103"/>
      <c r="E145" s="103"/>
      <c r="F145" s="103"/>
    </row>
    <row r="146" spans="1:6" ht="15.75">
      <c r="A146" s="103"/>
      <c r="B146" s="103"/>
      <c r="C146" s="103"/>
      <c r="D146" s="103"/>
      <c r="E146" s="103"/>
      <c r="F146" s="103"/>
    </row>
    <row r="147" spans="1:6" ht="15.75">
      <c r="A147" s="103"/>
      <c r="B147" s="103"/>
      <c r="C147" s="103"/>
      <c r="D147" s="103"/>
      <c r="E147" s="103"/>
      <c r="F147" s="103"/>
    </row>
    <row r="148" spans="1:6" ht="15.75">
      <c r="A148" s="103"/>
      <c r="B148" s="103"/>
      <c r="C148" s="103"/>
      <c r="D148" s="103"/>
      <c r="E148" s="103"/>
      <c r="F148" s="103"/>
    </row>
    <row r="149" spans="1:6" ht="15.75">
      <c r="A149" s="103"/>
      <c r="B149" s="103"/>
      <c r="C149" s="103"/>
      <c r="D149" s="103"/>
      <c r="E149" s="103"/>
      <c r="F149" s="103"/>
    </row>
    <row r="150" spans="1:6" ht="15.75">
      <c r="A150" s="103"/>
      <c r="B150" s="103"/>
      <c r="C150" s="103"/>
      <c r="D150" s="103"/>
      <c r="E150" s="103"/>
      <c r="F150" s="103"/>
    </row>
    <row r="151" spans="1:6" ht="15.75">
      <c r="A151" s="103"/>
      <c r="B151" s="103"/>
      <c r="C151" s="103"/>
      <c r="D151" s="103"/>
      <c r="E151" s="103"/>
      <c r="F151" s="103"/>
    </row>
    <row r="152" spans="1:6" ht="15.75">
      <c r="A152" s="103"/>
      <c r="B152" s="103"/>
      <c r="C152" s="103"/>
      <c r="D152" s="103"/>
      <c r="E152" s="103"/>
      <c r="F152" s="103"/>
    </row>
    <row r="153" spans="1:6" ht="15.75">
      <c r="A153" s="103"/>
      <c r="B153" s="103"/>
      <c r="C153" s="103"/>
      <c r="D153" s="103"/>
      <c r="E153" s="103"/>
      <c r="F153" s="103"/>
    </row>
    <row r="154" spans="1:6" ht="15.75">
      <c r="A154" s="103"/>
      <c r="B154" s="103"/>
      <c r="C154" s="103"/>
      <c r="D154" s="103"/>
      <c r="E154" s="103"/>
      <c r="F154" s="103"/>
    </row>
    <row r="155" spans="1:6" ht="15.75">
      <c r="A155" s="103"/>
      <c r="B155" s="103"/>
      <c r="C155" s="103"/>
      <c r="D155" s="103"/>
      <c r="E155" s="103"/>
      <c r="F155" s="103"/>
    </row>
    <row r="156" spans="1:6" ht="15.75">
      <c r="A156" s="103"/>
      <c r="B156" s="103"/>
      <c r="C156" s="103"/>
      <c r="D156" s="103"/>
      <c r="E156" s="103"/>
      <c r="F156" s="103"/>
    </row>
    <row r="157" spans="1:6" ht="15.75">
      <c r="A157" s="103"/>
      <c r="B157" s="103"/>
      <c r="C157" s="103"/>
      <c r="D157" s="103"/>
      <c r="E157" s="103"/>
      <c r="F157" s="103"/>
    </row>
    <row r="158" spans="1:6" ht="15.75">
      <c r="A158" s="103"/>
      <c r="B158" s="103"/>
      <c r="C158" s="103"/>
      <c r="D158" s="103"/>
      <c r="E158" s="103"/>
      <c r="F158" s="103"/>
    </row>
    <row r="159" spans="1:6" ht="15.75">
      <c r="A159" s="103"/>
      <c r="B159" s="103"/>
      <c r="C159" s="103"/>
      <c r="D159" s="103"/>
      <c r="E159" s="103"/>
      <c r="F159" s="103"/>
    </row>
    <row r="160" spans="1:6" ht="15.75">
      <c r="A160" s="103"/>
      <c r="B160" s="103"/>
      <c r="C160" s="103"/>
      <c r="D160" s="103"/>
      <c r="E160" s="103"/>
      <c r="F160" s="103"/>
    </row>
    <row r="161" spans="1:6" ht="15.75">
      <c r="A161" s="103"/>
      <c r="B161" s="103"/>
      <c r="C161" s="103"/>
      <c r="D161" s="103"/>
      <c r="E161" s="103"/>
      <c r="F161" s="103"/>
    </row>
    <row r="162" spans="1:6" ht="15.75">
      <c r="A162" s="103"/>
      <c r="B162" s="103"/>
      <c r="C162" s="103"/>
      <c r="D162" s="103"/>
      <c r="E162" s="103"/>
      <c r="F162" s="103"/>
    </row>
    <row r="163" spans="1:6" ht="15.75">
      <c r="A163" s="103"/>
      <c r="B163" s="103"/>
      <c r="C163" s="103"/>
      <c r="D163" s="103"/>
      <c r="E163" s="103"/>
      <c r="F163" s="103"/>
    </row>
    <row r="164" spans="1:6" ht="15.75">
      <c r="A164" s="103"/>
      <c r="B164" s="103"/>
      <c r="C164" s="103"/>
      <c r="D164" s="103"/>
      <c r="E164" s="103"/>
      <c r="F164" s="103"/>
    </row>
    <row r="165" spans="1:6" ht="15.75">
      <c r="A165" s="103"/>
      <c r="B165" s="103"/>
      <c r="C165" s="103"/>
      <c r="D165" s="103"/>
      <c r="E165" s="103"/>
      <c r="F165" s="103"/>
    </row>
    <row r="166" spans="1:6" ht="15.75">
      <c r="A166" s="103"/>
      <c r="B166" s="103"/>
      <c r="C166" s="103"/>
      <c r="D166" s="103"/>
      <c r="E166" s="103"/>
      <c r="F166" s="103"/>
    </row>
    <row r="167" spans="1:6" ht="15.75">
      <c r="A167" s="103"/>
      <c r="B167" s="103"/>
      <c r="C167" s="103"/>
      <c r="D167" s="103"/>
      <c r="E167" s="103"/>
      <c r="F167" s="103"/>
    </row>
    <row r="168" spans="1:6" ht="15.75">
      <c r="A168" s="103"/>
      <c r="B168" s="103"/>
      <c r="C168" s="103"/>
      <c r="D168" s="103"/>
      <c r="E168" s="103"/>
      <c r="F168" s="103"/>
    </row>
    <row r="169" spans="1:6" ht="15.75">
      <c r="A169" s="103"/>
      <c r="B169" s="103"/>
      <c r="C169" s="103"/>
      <c r="D169" s="103"/>
      <c r="E169" s="103"/>
      <c r="F169" s="103"/>
    </row>
    <row r="170" spans="1:6" ht="15.75">
      <c r="A170" s="103"/>
      <c r="B170" s="103"/>
      <c r="C170" s="103"/>
      <c r="D170" s="103"/>
      <c r="E170" s="103"/>
      <c r="F170" s="103"/>
    </row>
    <row r="171" spans="1:6" ht="15.75">
      <c r="A171" s="103"/>
      <c r="B171" s="103"/>
      <c r="C171" s="103"/>
      <c r="D171" s="103"/>
      <c r="E171" s="103"/>
      <c r="F171" s="103"/>
    </row>
    <row r="172" spans="1:6" ht="15.75">
      <c r="A172" s="103"/>
      <c r="B172" s="103"/>
      <c r="C172" s="103"/>
      <c r="D172" s="103"/>
      <c r="E172" s="103"/>
      <c r="F172" s="103"/>
    </row>
    <row r="173" spans="1:6" ht="15.75">
      <c r="A173" s="103"/>
      <c r="B173" s="103"/>
      <c r="C173" s="103"/>
      <c r="D173" s="103"/>
      <c r="E173" s="103"/>
      <c r="F173" s="103"/>
    </row>
    <row r="174" spans="1:6" ht="15.75">
      <c r="A174" s="103"/>
      <c r="B174" s="103"/>
      <c r="C174" s="103"/>
      <c r="D174" s="103"/>
      <c r="E174" s="103"/>
      <c r="F174" s="103"/>
    </row>
    <row r="175" spans="1:6" ht="15.75">
      <c r="A175" s="103"/>
      <c r="B175" s="103"/>
      <c r="C175" s="103"/>
      <c r="D175" s="103"/>
      <c r="E175" s="103"/>
      <c r="F175" s="103"/>
    </row>
    <row r="176" spans="1:6" ht="15.75">
      <c r="A176" s="103"/>
      <c r="B176" s="103"/>
      <c r="C176" s="103"/>
      <c r="D176" s="103"/>
      <c r="E176" s="103"/>
      <c r="F176" s="103"/>
    </row>
    <row r="177" spans="1:6" ht="15.75">
      <c r="A177" s="103"/>
      <c r="B177" s="103"/>
      <c r="C177" s="103"/>
      <c r="D177" s="103"/>
      <c r="E177" s="103"/>
      <c r="F177" s="103"/>
    </row>
    <row r="178" spans="1:6" ht="15.75">
      <c r="A178" s="103"/>
      <c r="B178" s="103"/>
      <c r="C178" s="103"/>
      <c r="D178" s="103"/>
      <c r="E178" s="103"/>
      <c r="F178" s="103"/>
    </row>
    <row r="179" spans="1:6" ht="15.75">
      <c r="A179" s="103"/>
      <c r="B179" s="103"/>
      <c r="C179" s="103"/>
      <c r="D179" s="103"/>
      <c r="E179" s="103"/>
      <c r="F179" s="103"/>
    </row>
    <row r="180" spans="1:6" ht="15.75">
      <c r="A180" s="103"/>
      <c r="B180" s="103"/>
      <c r="C180" s="103"/>
      <c r="D180" s="103"/>
      <c r="E180" s="103"/>
      <c r="F180" s="103"/>
    </row>
    <row r="181" spans="1:6" ht="15.75">
      <c r="A181" s="103"/>
      <c r="B181" s="103"/>
      <c r="C181" s="103"/>
      <c r="D181" s="103"/>
      <c r="E181" s="103"/>
      <c r="F181" s="103"/>
    </row>
    <row r="182" spans="1:6" ht="15.75">
      <c r="A182" s="103"/>
      <c r="B182" s="103"/>
      <c r="C182" s="103"/>
      <c r="D182" s="103"/>
      <c r="E182" s="103"/>
      <c r="F182" s="103"/>
    </row>
    <row r="183" spans="1:6" ht="15.75">
      <c r="A183" s="103"/>
      <c r="B183" s="103"/>
      <c r="C183" s="103"/>
      <c r="D183" s="103"/>
      <c r="E183" s="103"/>
      <c r="F183" s="103"/>
    </row>
    <row r="184" spans="1:6" ht="15.75">
      <c r="A184" s="103"/>
      <c r="B184" s="103"/>
      <c r="C184" s="103"/>
      <c r="D184" s="103"/>
      <c r="E184" s="103"/>
      <c r="F184" s="103"/>
    </row>
    <row r="185" spans="1:6" ht="15.75">
      <c r="A185" s="103"/>
      <c r="B185" s="103"/>
      <c r="C185" s="103"/>
      <c r="D185" s="103"/>
      <c r="E185" s="103"/>
      <c r="F185" s="103"/>
    </row>
    <row r="186" spans="1:6" ht="15.75">
      <c r="A186" s="103"/>
      <c r="B186" s="103"/>
      <c r="C186" s="103"/>
      <c r="D186" s="103"/>
      <c r="E186" s="103"/>
      <c r="F186" s="103"/>
    </row>
    <row r="187" spans="1:6" ht="15.75">
      <c r="A187" s="103"/>
      <c r="B187" s="103"/>
      <c r="C187" s="103"/>
      <c r="D187" s="103"/>
      <c r="E187" s="103"/>
      <c r="F187" s="103"/>
    </row>
    <row r="188" spans="1:6" ht="15.75">
      <c r="A188" s="103"/>
      <c r="B188" s="103"/>
      <c r="C188" s="103"/>
      <c r="D188" s="103"/>
      <c r="E188" s="103"/>
      <c r="F188" s="103"/>
    </row>
    <row r="189" spans="1:6" ht="15.75">
      <c r="A189" s="103"/>
      <c r="B189" s="103"/>
      <c r="C189" s="103"/>
      <c r="D189" s="103"/>
      <c r="E189" s="103"/>
      <c r="F189" s="103"/>
    </row>
    <row r="190" spans="1:6" ht="15.75">
      <c r="A190" s="103"/>
      <c r="B190" s="103"/>
      <c r="C190" s="103"/>
      <c r="D190" s="103"/>
      <c r="E190" s="103"/>
      <c r="F190" s="103"/>
    </row>
    <row r="191" spans="1:6" ht="15.75">
      <c r="A191" s="103"/>
      <c r="B191" s="103"/>
      <c r="C191" s="103"/>
      <c r="D191" s="103"/>
      <c r="E191" s="103"/>
      <c r="F191" s="103"/>
    </row>
    <row r="192" spans="1:6" ht="15.75">
      <c r="A192" s="103"/>
      <c r="B192" s="103"/>
      <c r="C192" s="103"/>
      <c r="D192" s="103"/>
      <c r="E192" s="103"/>
      <c r="F192" s="103"/>
    </row>
    <row r="193" spans="1:6" ht="15.75">
      <c r="A193" s="103"/>
      <c r="B193" s="103"/>
      <c r="C193" s="103"/>
      <c r="D193" s="103"/>
      <c r="E193" s="103"/>
      <c r="F193" s="103"/>
    </row>
    <row r="194" spans="1:6" ht="15.75">
      <c r="A194" s="103"/>
      <c r="B194" s="103"/>
      <c r="C194" s="103"/>
      <c r="D194" s="103"/>
      <c r="E194" s="103"/>
      <c r="F194" s="103"/>
    </row>
    <row r="195" spans="1:6" ht="15.75">
      <c r="A195" s="103"/>
      <c r="B195" s="103"/>
      <c r="C195" s="103"/>
      <c r="D195" s="103"/>
      <c r="E195" s="103"/>
      <c r="F195" s="103"/>
    </row>
    <row r="196" spans="1:6" ht="15.75">
      <c r="A196" s="103"/>
      <c r="B196" s="103"/>
      <c r="C196" s="103"/>
      <c r="D196" s="103"/>
      <c r="E196" s="103"/>
      <c r="F196" s="103"/>
    </row>
    <row r="197" spans="1:6" ht="15.75">
      <c r="A197" s="103"/>
      <c r="B197" s="103"/>
      <c r="C197" s="103"/>
      <c r="D197" s="103"/>
      <c r="E197" s="103"/>
      <c r="F197" s="103"/>
    </row>
    <row r="198" spans="1:6" ht="15.75">
      <c r="A198" s="103"/>
      <c r="B198" s="103"/>
      <c r="C198" s="103"/>
      <c r="D198" s="103"/>
      <c r="E198" s="103"/>
      <c r="F198" s="103"/>
    </row>
    <row r="199" spans="1:6" ht="15.75">
      <c r="A199" s="103"/>
      <c r="B199" s="103"/>
      <c r="C199" s="103"/>
      <c r="D199" s="103"/>
      <c r="E199" s="103"/>
      <c r="F199" s="103"/>
    </row>
    <row r="200" spans="1:6" ht="15.75">
      <c r="A200" s="103"/>
      <c r="B200" s="103"/>
      <c r="C200" s="103"/>
      <c r="D200" s="103"/>
      <c r="E200" s="103"/>
      <c r="F200" s="103"/>
    </row>
    <row r="201" spans="1:6" ht="15.75">
      <c r="A201" s="103"/>
      <c r="B201" s="103"/>
      <c r="C201" s="103"/>
      <c r="D201" s="103"/>
      <c r="E201" s="103"/>
      <c r="F201" s="103"/>
    </row>
    <row r="202" spans="1:6" ht="15.75">
      <c r="A202" s="103"/>
      <c r="B202" s="103"/>
      <c r="C202" s="103"/>
      <c r="D202" s="103"/>
      <c r="E202" s="103"/>
      <c r="F202" s="103"/>
    </row>
    <row r="203" spans="1:6" ht="15.75">
      <c r="A203" s="103"/>
      <c r="B203" s="103"/>
      <c r="C203" s="103"/>
      <c r="D203" s="103"/>
      <c r="E203" s="103"/>
      <c r="F203" s="103"/>
    </row>
    <row r="204" spans="1:6" ht="15.75">
      <c r="A204" s="103"/>
      <c r="B204" s="103"/>
      <c r="C204" s="103"/>
      <c r="D204" s="103"/>
      <c r="E204" s="103"/>
      <c r="F204" s="103"/>
    </row>
    <row r="205" spans="1:6" ht="15.75">
      <c r="A205" s="103"/>
      <c r="B205" s="103"/>
      <c r="C205" s="103"/>
      <c r="D205" s="103"/>
      <c r="E205" s="103"/>
      <c r="F205" s="103"/>
    </row>
    <row r="206" spans="1:6" ht="15.75">
      <c r="A206" s="103"/>
      <c r="B206" s="103"/>
      <c r="C206" s="103"/>
      <c r="D206" s="103"/>
      <c r="E206" s="103"/>
      <c r="F206" s="103"/>
    </row>
    <row r="207" spans="1:6" ht="15.75">
      <c r="A207" s="103"/>
      <c r="B207" s="103"/>
      <c r="C207" s="103"/>
      <c r="D207" s="103"/>
      <c r="E207" s="103"/>
      <c r="F207" s="103"/>
    </row>
    <row r="208" spans="1:6" ht="15.75">
      <c r="A208" s="103"/>
      <c r="B208" s="103"/>
      <c r="C208" s="103"/>
      <c r="D208" s="103"/>
      <c r="E208" s="103"/>
      <c r="F208" s="103"/>
    </row>
    <row r="209" spans="1:6" ht="15.75">
      <c r="A209" s="103"/>
      <c r="B209" s="103"/>
      <c r="C209" s="103"/>
      <c r="D209" s="103"/>
      <c r="E209" s="103"/>
      <c r="F209" s="103"/>
    </row>
    <row r="210" spans="1:6" ht="15.75">
      <c r="A210" s="103"/>
      <c r="B210" s="103"/>
      <c r="C210" s="103"/>
      <c r="D210" s="103"/>
      <c r="E210" s="103"/>
      <c r="F210" s="103"/>
    </row>
    <row r="211" spans="1:6" ht="15.75">
      <c r="A211" s="103"/>
      <c r="B211" s="103"/>
      <c r="C211" s="103"/>
      <c r="D211" s="103"/>
      <c r="E211" s="103"/>
      <c r="F211" s="103"/>
    </row>
    <row r="212" spans="1:6" ht="15.75">
      <c r="A212" s="103"/>
      <c r="B212" s="103"/>
      <c r="C212" s="103"/>
      <c r="D212" s="103"/>
      <c r="E212" s="103"/>
      <c r="F212" s="103"/>
    </row>
    <row r="213" spans="1:6" ht="15.75">
      <c r="A213" s="103"/>
      <c r="B213" s="103"/>
      <c r="C213" s="103"/>
      <c r="D213" s="103"/>
      <c r="E213" s="103"/>
      <c r="F213" s="103"/>
    </row>
    <row r="214" spans="1:6" ht="15.75">
      <c r="A214" s="103"/>
      <c r="B214" s="103"/>
      <c r="C214" s="103"/>
      <c r="D214" s="103"/>
      <c r="E214" s="103"/>
      <c r="F214" s="103"/>
    </row>
    <row r="215" spans="1:6" ht="15.75">
      <c r="A215" s="103"/>
      <c r="B215" s="103"/>
      <c r="C215" s="103"/>
      <c r="D215" s="103"/>
      <c r="E215" s="103"/>
      <c r="F215" s="103"/>
    </row>
    <row r="216" spans="1:6" ht="15.75">
      <c r="A216" s="103"/>
      <c r="B216" s="103"/>
      <c r="C216" s="103"/>
      <c r="D216" s="103"/>
      <c r="E216" s="103"/>
      <c r="F216" s="103"/>
    </row>
    <row r="217" spans="1:6" ht="15.75">
      <c r="A217" s="103"/>
      <c r="B217" s="103"/>
      <c r="C217" s="103"/>
      <c r="D217" s="103"/>
      <c r="E217" s="103"/>
      <c r="F217" s="103"/>
    </row>
    <row r="218" spans="1:6" ht="15.75">
      <c r="A218" s="103"/>
      <c r="B218" s="103"/>
      <c r="C218" s="103"/>
      <c r="D218" s="103"/>
      <c r="E218" s="103"/>
      <c r="F218" s="103"/>
    </row>
    <row r="219" spans="1:6" ht="15.75">
      <c r="A219" s="103"/>
      <c r="B219" s="103"/>
      <c r="C219" s="103"/>
      <c r="D219" s="103"/>
      <c r="E219" s="103"/>
      <c r="F219" s="103"/>
    </row>
    <row r="220" spans="1:6" ht="15.75">
      <c r="A220" s="103"/>
      <c r="B220" s="103"/>
      <c r="C220" s="103"/>
      <c r="D220" s="103"/>
      <c r="E220" s="103"/>
      <c r="F220" s="103"/>
    </row>
    <row r="221" spans="1:6" ht="15.75">
      <c r="A221" s="103"/>
      <c r="B221" s="103"/>
      <c r="C221" s="103"/>
      <c r="D221" s="103"/>
      <c r="E221" s="103"/>
      <c r="F221" s="103"/>
    </row>
    <row r="222" spans="1:6" ht="15.75">
      <c r="A222" s="103"/>
      <c r="B222" s="103"/>
      <c r="C222" s="103"/>
      <c r="D222" s="103"/>
      <c r="E222" s="103"/>
      <c r="F222" s="103"/>
    </row>
    <row r="223" spans="1:6" ht="15.75">
      <c r="A223" s="103"/>
      <c r="B223" s="103"/>
      <c r="C223" s="103"/>
      <c r="D223" s="103"/>
      <c r="E223" s="103"/>
      <c r="F223" s="103"/>
    </row>
    <row r="224" spans="1:6" ht="15.75">
      <c r="A224" s="103"/>
      <c r="B224" s="103"/>
      <c r="C224" s="103"/>
      <c r="D224" s="103"/>
      <c r="E224" s="103"/>
      <c r="F224" s="103"/>
    </row>
    <row r="225" spans="1:6" ht="15.75">
      <c r="A225" s="103"/>
      <c r="B225" s="103"/>
      <c r="C225" s="103"/>
      <c r="D225" s="103"/>
      <c r="E225" s="103"/>
      <c r="F225" s="103"/>
    </row>
    <row r="226" spans="1:6" ht="15.75">
      <c r="A226" s="103"/>
      <c r="B226" s="103"/>
      <c r="C226" s="103"/>
      <c r="D226" s="103"/>
      <c r="E226" s="103"/>
      <c r="F226" s="103"/>
    </row>
    <row r="227" spans="1:6" ht="15.75">
      <c r="A227" s="103"/>
      <c r="B227" s="103"/>
      <c r="C227" s="103"/>
      <c r="D227" s="103"/>
      <c r="E227" s="103"/>
      <c r="F227" s="103"/>
    </row>
    <row r="228" spans="1:6" ht="15.75">
      <c r="A228" s="103"/>
      <c r="B228" s="103"/>
      <c r="C228" s="103"/>
      <c r="D228" s="103"/>
      <c r="E228" s="103"/>
      <c r="F228" s="103"/>
    </row>
    <row r="229" spans="1:6" ht="15.75">
      <c r="A229" s="103"/>
      <c r="B229" s="103"/>
      <c r="C229" s="103"/>
      <c r="D229" s="103"/>
      <c r="E229" s="103"/>
      <c r="F229" s="103"/>
    </row>
    <row r="230" spans="1:6" ht="15.75">
      <c r="A230" s="103"/>
      <c r="B230" s="103"/>
      <c r="C230" s="103"/>
      <c r="D230" s="103"/>
      <c r="E230" s="103"/>
      <c r="F230" s="103"/>
    </row>
    <row r="231" spans="1:6" ht="15.75">
      <c r="A231" s="103"/>
      <c r="B231" s="103"/>
      <c r="C231" s="103"/>
      <c r="D231" s="103"/>
      <c r="E231" s="103"/>
      <c r="F231" s="103"/>
    </row>
    <row r="232" spans="1:6" ht="15.75">
      <c r="A232" s="103"/>
      <c r="B232" s="103"/>
      <c r="C232" s="103"/>
      <c r="D232" s="103"/>
      <c r="E232" s="103"/>
      <c r="F232" s="103"/>
    </row>
    <row r="233" spans="1:6" ht="15.75">
      <c r="A233" s="103"/>
      <c r="B233" s="103"/>
      <c r="C233" s="103"/>
      <c r="D233" s="103"/>
      <c r="E233" s="103"/>
      <c r="F233" s="103"/>
    </row>
    <row r="234" spans="1:6" ht="15.75">
      <c r="A234" s="103"/>
      <c r="B234" s="103"/>
      <c r="C234" s="103"/>
      <c r="D234" s="103"/>
      <c r="E234" s="103"/>
      <c r="F234" s="103"/>
    </row>
    <row r="235" spans="1:6" ht="15.75">
      <c r="A235" s="103"/>
      <c r="B235" s="103"/>
      <c r="C235" s="103"/>
      <c r="D235" s="103"/>
      <c r="E235" s="103"/>
      <c r="F235" s="103"/>
    </row>
    <row r="236" spans="1:6" ht="15.75">
      <c r="A236" s="103"/>
      <c r="B236" s="103"/>
      <c r="C236" s="103"/>
      <c r="D236" s="103"/>
      <c r="E236" s="103"/>
      <c r="F236" s="103"/>
    </row>
    <row r="237" spans="1:6" ht="15.75">
      <c r="A237" s="103"/>
      <c r="B237" s="103"/>
      <c r="C237" s="103"/>
      <c r="D237" s="103"/>
      <c r="E237" s="103"/>
      <c r="F237" s="103"/>
    </row>
    <row r="238" spans="1:6" ht="15.75">
      <c r="A238" s="103"/>
      <c r="B238" s="103"/>
      <c r="C238" s="103"/>
      <c r="D238" s="103"/>
      <c r="E238" s="103"/>
      <c r="F238" s="103"/>
    </row>
    <row r="239" spans="1:6" ht="15.75">
      <c r="A239" s="103"/>
      <c r="B239" s="103"/>
      <c r="C239" s="103"/>
      <c r="D239" s="103"/>
      <c r="E239" s="103"/>
      <c r="F239" s="103"/>
    </row>
    <row r="240" spans="1:6" ht="15.75">
      <c r="A240" s="103"/>
      <c r="B240" s="103"/>
      <c r="C240" s="103"/>
      <c r="D240" s="103"/>
      <c r="E240" s="103"/>
      <c r="F240" s="103"/>
    </row>
    <row r="241" spans="1:6" ht="15.75">
      <c r="A241" s="103"/>
      <c r="B241" s="103"/>
      <c r="C241" s="103"/>
      <c r="D241" s="103"/>
      <c r="E241" s="103"/>
      <c r="F241" s="103"/>
    </row>
    <row r="242" spans="1:6" ht="15.75">
      <c r="A242" s="103"/>
      <c r="B242" s="103"/>
      <c r="C242" s="103"/>
      <c r="D242" s="103"/>
      <c r="E242" s="103"/>
      <c r="F242" s="103"/>
    </row>
    <row r="243" spans="1:6" ht="15.75">
      <c r="A243" s="103"/>
      <c r="B243" s="103"/>
      <c r="C243" s="103"/>
      <c r="D243" s="103"/>
      <c r="E243" s="103"/>
      <c r="F243" s="103"/>
    </row>
    <row r="244" spans="1:6" ht="15.75">
      <c r="A244" s="103"/>
      <c r="B244" s="103"/>
      <c r="C244" s="103"/>
      <c r="D244" s="103"/>
      <c r="E244" s="103"/>
      <c r="F244" s="103"/>
    </row>
    <row r="245" spans="1:6" ht="15.75">
      <c r="A245" s="103"/>
      <c r="B245" s="103"/>
      <c r="C245" s="103"/>
      <c r="D245" s="103"/>
      <c r="E245" s="103"/>
      <c r="F245" s="103"/>
    </row>
    <row r="246" spans="1:6" ht="15.75">
      <c r="A246" s="103"/>
      <c r="B246" s="103"/>
      <c r="C246" s="103"/>
      <c r="D246" s="103"/>
      <c r="E246" s="103"/>
      <c r="F246" s="103"/>
    </row>
    <row r="247" spans="1:6" ht="15.75">
      <c r="A247" s="103"/>
      <c r="B247" s="103"/>
      <c r="C247" s="103"/>
      <c r="D247" s="103"/>
      <c r="E247" s="103"/>
      <c r="F247" s="103"/>
    </row>
    <row r="248" spans="1:6" ht="15.75">
      <c r="A248" s="103"/>
      <c r="B248" s="103"/>
      <c r="C248" s="103"/>
      <c r="D248" s="103"/>
      <c r="E248" s="103"/>
      <c r="F248" s="103"/>
    </row>
    <row r="249" spans="1:6" ht="15.75">
      <c r="A249" s="103"/>
      <c r="B249" s="103"/>
      <c r="C249" s="103"/>
      <c r="D249" s="103"/>
      <c r="E249" s="103"/>
      <c r="F249" s="103"/>
    </row>
    <row r="250" spans="1:6" ht="15.75">
      <c r="A250" s="103"/>
      <c r="B250" s="103"/>
      <c r="C250" s="103"/>
      <c r="D250" s="103"/>
      <c r="E250" s="103"/>
      <c r="F250" s="103"/>
    </row>
    <row r="251" spans="1:6" ht="15.75">
      <c r="A251" s="103"/>
      <c r="B251" s="103"/>
      <c r="C251" s="103"/>
      <c r="D251" s="103"/>
      <c r="E251" s="103"/>
      <c r="F251" s="103"/>
    </row>
    <row r="252" spans="1:6" ht="15.75">
      <c r="A252" s="103"/>
      <c r="B252" s="103"/>
      <c r="C252" s="103"/>
      <c r="D252" s="103"/>
      <c r="E252" s="103"/>
      <c r="F252" s="103"/>
    </row>
    <row r="253" spans="1:6" ht="15.75">
      <c r="A253" s="103"/>
      <c r="B253" s="103"/>
      <c r="C253" s="103"/>
      <c r="D253" s="103"/>
      <c r="E253" s="103"/>
      <c r="F253" s="103"/>
    </row>
    <row r="254" spans="1:6" ht="15.75">
      <c r="A254" s="103"/>
      <c r="B254" s="103"/>
      <c r="C254" s="103"/>
      <c r="D254" s="103"/>
      <c r="E254" s="103"/>
      <c r="F254" s="103"/>
    </row>
    <row r="255" spans="1:6" ht="15.75">
      <c r="A255" s="103"/>
      <c r="B255" s="103"/>
      <c r="C255" s="103"/>
      <c r="D255" s="103"/>
      <c r="E255" s="103"/>
      <c r="F255" s="103"/>
    </row>
    <row r="256" spans="1:6" ht="15.75">
      <c r="A256" s="103"/>
      <c r="B256" s="103"/>
      <c r="C256" s="103"/>
      <c r="D256" s="103"/>
      <c r="E256" s="103"/>
      <c r="F256" s="103"/>
    </row>
    <row r="257" spans="1:6" ht="15.75">
      <c r="A257" s="103"/>
      <c r="B257" s="103"/>
      <c r="C257" s="103"/>
      <c r="D257" s="103"/>
      <c r="E257" s="103"/>
      <c r="F257" s="103"/>
    </row>
    <row r="258" spans="1:6" ht="15.75">
      <c r="A258" s="103"/>
      <c r="B258" s="103"/>
      <c r="C258" s="103"/>
      <c r="D258" s="103"/>
      <c r="E258" s="103"/>
      <c r="F258" s="103"/>
    </row>
    <row r="259" spans="1:6" ht="15.75">
      <c r="A259" s="103"/>
      <c r="B259" s="103"/>
      <c r="C259" s="103"/>
      <c r="D259" s="103"/>
      <c r="E259" s="103"/>
      <c r="F259" s="103"/>
    </row>
    <row r="260" spans="1:6" ht="15.75">
      <c r="A260" s="103"/>
      <c r="B260" s="103"/>
      <c r="C260" s="103"/>
      <c r="D260" s="103"/>
      <c r="E260" s="103"/>
      <c r="F260" s="103"/>
    </row>
    <row r="261" spans="1:6" ht="15.75">
      <c r="A261" s="103"/>
      <c r="B261" s="103"/>
      <c r="C261" s="103"/>
      <c r="D261" s="103"/>
      <c r="E261" s="103"/>
      <c r="F261" s="103"/>
    </row>
    <row r="262" spans="1:6" ht="15.75">
      <c r="A262" s="103"/>
      <c r="B262" s="103"/>
      <c r="C262" s="103"/>
      <c r="D262" s="103"/>
      <c r="E262" s="103"/>
      <c r="F262" s="103"/>
    </row>
    <row r="263" spans="1:6" ht="15.75">
      <c r="A263" s="103"/>
      <c r="B263" s="103"/>
      <c r="C263" s="103"/>
      <c r="D263" s="103"/>
      <c r="E263" s="103"/>
      <c r="F263" s="103"/>
    </row>
    <row r="264" spans="1:6" ht="15.75">
      <c r="A264" s="103"/>
      <c r="B264" s="103"/>
      <c r="C264" s="103"/>
      <c r="D264" s="103"/>
      <c r="E264" s="103"/>
      <c r="F264" s="103"/>
    </row>
    <row r="265" spans="1:6" ht="15.75">
      <c r="A265" s="103"/>
      <c r="B265" s="103"/>
      <c r="C265" s="103"/>
      <c r="D265" s="103"/>
      <c r="E265" s="103"/>
      <c r="F265" s="103"/>
    </row>
    <row r="266" spans="1:6" ht="15.75">
      <c r="A266" s="103"/>
      <c r="B266" s="103"/>
      <c r="C266" s="103"/>
      <c r="D266" s="103"/>
      <c r="E266" s="103"/>
      <c r="F266" s="103"/>
    </row>
    <row r="267" spans="1:6" ht="15.75">
      <c r="A267" s="103"/>
      <c r="B267" s="103"/>
      <c r="C267" s="103"/>
      <c r="D267" s="103"/>
      <c r="E267" s="103"/>
      <c r="F267" s="103"/>
    </row>
    <row r="268" spans="1:6" ht="15.75">
      <c r="A268" s="103"/>
      <c r="B268" s="103"/>
      <c r="C268" s="103"/>
      <c r="D268" s="103"/>
      <c r="E268" s="103"/>
      <c r="F268" s="103"/>
    </row>
    <row r="269" spans="1:6" ht="15.75">
      <c r="A269" s="103"/>
      <c r="B269" s="103"/>
      <c r="C269" s="103"/>
      <c r="D269" s="103"/>
      <c r="E269" s="103"/>
      <c r="F269" s="103"/>
    </row>
    <row r="270" spans="1:6" ht="15.75">
      <c r="A270" s="103"/>
      <c r="B270" s="103"/>
      <c r="C270" s="103"/>
      <c r="D270" s="103"/>
      <c r="E270" s="103"/>
      <c r="F270" s="103"/>
    </row>
    <row r="271" spans="1:6" ht="15.75">
      <c r="A271" s="103"/>
      <c r="B271" s="103"/>
      <c r="C271" s="103"/>
      <c r="D271" s="103"/>
      <c r="E271" s="103"/>
      <c r="F271" s="103"/>
    </row>
    <row r="272" spans="1:6" ht="15.75">
      <c r="A272" s="103"/>
      <c r="B272" s="103"/>
      <c r="C272" s="103"/>
      <c r="D272" s="103"/>
      <c r="E272" s="103"/>
      <c r="F272" s="103"/>
    </row>
    <row r="273" spans="1:6" ht="15.75">
      <c r="A273" s="103"/>
      <c r="B273" s="103"/>
      <c r="C273" s="103"/>
      <c r="D273" s="103"/>
      <c r="E273" s="103"/>
      <c r="F273" s="103"/>
    </row>
    <row r="274" spans="1:6" ht="15.75">
      <c r="A274" s="103"/>
      <c r="B274" s="103"/>
      <c r="C274" s="103"/>
      <c r="D274" s="103"/>
      <c r="E274" s="103"/>
      <c r="F274" s="103"/>
    </row>
    <row r="275" spans="1:6" ht="15.75">
      <c r="A275" s="103"/>
      <c r="B275" s="103"/>
      <c r="C275" s="103"/>
      <c r="D275" s="103"/>
      <c r="E275" s="103"/>
      <c r="F275" s="103"/>
    </row>
    <row r="276" spans="1:6" ht="15.75">
      <c r="A276" s="103"/>
      <c r="B276" s="103"/>
      <c r="C276" s="103"/>
      <c r="D276" s="103"/>
      <c r="E276" s="103"/>
      <c r="F276" s="103"/>
    </row>
    <row r="277" spans="1:6" ht="15.75">
      <c r="A277" s="103"/>
      <c r="B277" s="103"/>
      <c r="C277" s="103"/>
      <c r="D277" s="103"/>
      <c r="E277" s="103"/>
      <c r="F277" s="103"/>
    </row>
    <row r="278" spans="1:6" ht="15.75">
      <c r="A278" s="103"/>
      <c r="B278" s="103"/>
      <c r="C278" s="103"/>
      <c r="D278" s="103"/>
      <c r="E278" s="103"/>
      <c r="F278" s="103"/>
    </row>
    <row r="279" spans="1:6" ht="15.75">
      <c r="A279" s="103"/>
      <c r="B279" s="103"/>
      <c r="C279" s="103"/>
      <c r="D279" s="103"/>
      <c r="E279" s="103"/>
      <c r="F279" s="103"/>
    </row>
    <row r="280" spans="1:6" ht="15.75">
      <c r="A280" s="103"/>
      <c r="B280" s="103"/>
      <c r="C280" s="103"/>
      <c r="D280" s="103"/>
      <c r="E280" s="103"/>
      <c r="F280" s="103"/>
    </row>
    <row r="281" spans="1:6" ht="15.75">
      <c r="A281" s="103"/>
      <c r="B281" s="103"/>
      <c r="C281" s="103"/>
      <c r="D281" s="103"/>
      <c r="E281" s="103"/>
      <c r="F281" s="103"/>
    </row>
    <row r="282" spans="1:6" ht="15.75">
      <c r="A282" s="103"/>
      <c r="B282" s="103"/>
      <c r="C282" s="103"/>
      <c r="D282" s="103"/>
      <c r="E282" s="103"/>
      <c r="F282" s="103"/>
    </row>
    <row r="283" spans="1:6" ht="15.75">
      <c r="A283" s="103"/>
      <c r="B283" s="103"/>
      <c r="C283" s="103"/>
      <c r="D283" s="103"/>
      <c r="E283" s="103"/>
      <c r="F283" s="103"/>
    </row>
    <row r="284" spans="1:6" ht="15.75">
      <c r="A284" s="103"/>
      <c r="B284" s="103"/>
      <c r="C284" s="103"/>
      <c r="D284" s="103"/>
      <c r="E284" s="103"/>
      <c r="F284" s="103"/>
    </row>
    <row r="285" spans="1:6" ht="15.75">
      <c r="A285" s="103"/>
      <c r="B285" s="103"/>
      <c r="C285" s="103"/>
      <c r="D285" s="103"/>
      <c r="E285" s="103"/>
      <c r="F285" s="103"/>
    </row>
    <row r="286" spans="1:6" ht="15.75">
      <c r="A286" s="103"/>
      <c r="B286" s="103"/>
      <c r="C286" s="103"/>
      <c r="D286" s="103"/>
      <c r="E286" s="103"/>
      <c r="F286" s="103"/>
    </row>
    <row r="287" spans="1:6" ht="15.75">
      <c r="A287" s="103"/>
      <c r="B287" s="103"/>
      <c r="C287" s="103"/>
      <c r="D287" s="103"/>
      <c r="E287" s="103"/>
      <c r="F287" s="103"/>
    </row>
    <row r="288" spans="1:6" ht="15.75">
      <c r="A288" s="103"/>
      <c r="B288" s="103"/>
      <c r="C288" s="103"/>
      <c r="D288" s="103"/>
      <c r="E288" s="103"/>
      <c r="F288" s="103"/>
    </row>
    <row r="289" spans="1:6" ht="15.75">
      <c r="A289" s="103"/>
      <c r="B289" s="103"/>
      <c r="C289" s="103"/>
      <c r="D289" s="103"/>
      <c r="E289" s="103"/>
      <c r="F289" s="103"/>
    </row>
    <row r="290" spans="1:6" ht="15.75">
      <c r="A290" s="103"/>
      <c r="B290" s="103"/>
      <c r="C290" s="103"/>
      <c r="D290" s="103"/>
      <c r="E290" s="103"/>
      <c r="F290" s="103"/>
    </row>
    <row r="291" spans="1:6" ht="15.75">
      <c r="A291" s="103"/>
      <c r="B291" s="103"/>
      <c r="C291" s="103"/>
      <c r="D291" s="103"/>
      <c r="E291" s="103"/>
      <c r="F291" s="103"/>
    </row>
    <row r="292" spans="1:6" ht="15.75">
      <c r="A292" s="103"/>
      <c r="B292" s="103"/>
      <c r="C292" s="103"/>
      <c r="D292" s="103"/>
      <c r="E292" s="103"/>
      <c r="F292" s="103"/>
    </row>
    <row r="293" spans="1:6" ht="15.75">
      <c r="A293" s="103"/>
      <c r="B293" s="103"/>
      <c r="C293" s="103"/>
      <c r="D293" s="103"/>
      <c r="E293" s="103"/>
      <c r="F293" s="103"/>
    </row>
    <row r="294" spans="1:6" ht="15.75">
      <c r="A294" s="103"/>
      <c r="B294" s="103"/>
      <c r="C294" s="103"/>
      <c r="D294" s="103"/>
      <c r="E294" s="103"/>
      <c r="F294" s="103"/>
    </row>
    <row r="295" spans="1:6" ht="15.75">
      <c r="A295" s="103"/>
      <c r="B295" s="103"/>
      <c r="C295" s="103"/>
      <c r="D295" s="103"/>
      <c r="E295" s="103"/>
      <c r="F295" s="103"/>
    </row>
    <row r="296" spans="1:6" ht="15.75">
      <c r="A296" s="103"/>
      <c r="B296" s="103"/>
      <c r="C296" s="103"/>
      <c r="D296" s="103"/>
      <c r="E296" s="103"/>
      <c r="F296" s="103"/>
    </row>
    <row r="297" spans="1:6" ht="15.75">
      <c r="A297" s="103"/>
      <c r="B297" s="103"/>
      <c r="C297" s="103"/>
      <c r="D297" s="103"/>
      <c r="E297" s="103"/>
      <c r="F297" s="103"/>
    </row>
    <row r="298" spans="1:6" ht="15.75">
      <c r="A298" s="103"/>
      <c r="B298" s="103"/>
      <c r="C298" s="103"/>
      <c r="D298" s="103"/>
      <c r="E298" s="103"/>
      <c r="F298" s="103"/>
    </row>
    <row r="299" spans="1:6" ht="15.75">
      <c r="A299" s="103"/>
      <c r="B299" s="103"/>
      <c r="C299" s="103"/>
      <c r="D299" s="103"/>
      <c r="E299" s="103"/>
      <c r="F299" s="103"/>
    </row>
    <row r="300" spans="1:6" ht="15.75">
      <c r="A300" s="103"/>
      <c r="B300" s="103"/>
      <c r="C300" s="103"/>
      <c r="D300" s="103"/>
      <c r="E300" s="103"/>
      <c r="F300" s="103"/>
    </row>
    <row r="301" spans="1:6" ht="15.75">
      <c r="A301" s="103"/>
      <c r="B301" s="103"/>
      <c r="C301" s="103"/>
      <c r="D301" s="103"/>
      <c r="E301" s="103"/>
      <c r="F301" s="103"/>
    </row>
    <row r="302" spans="1:6" ht="15.75">
      <c r="A302" s="103"/>
      <c r="B302" s="103"/>
      <c r="C302" s="103"/>
      <c r="D302" s="103"/>
      <c r="E302" s="103"/>
      <c r="F302" s="103"/>
    </row>
    <row r="303" spans="1:6" ht="15.75">
      <c r="A303" s="103"/>
      <c r="B303" s="103"/>
      <c r="C303" s="103"/>
      <c r="D303" s="103"/>
      <c r="E303" s="103"/>
      <c r="F303" s="103"/>
    </row>
    <row r="304" spans="1:6" ht="15.75">
      <c r="A304" s="103"/>
      <c r="B304" s="103"/>
      <c r="C304" s="103"/>
      <c r="D304" s="103"/>
      <c r="E304" s="103"/>
      <c r="F304" s="103"/>
    </row>
  </sheetData>
  <mergeCells count="28">
    <mergeCell ref="A59:B59"/>
    <mergeCell ref="A60:B60"/>
    <mergeCell ref="A61:B61"/>
    <mergeCell ref="A62:B62"/>
    <mergeCell ref="A53:B53"/>
    <mergeCell ref="A54:B54"/>
    <mergeCell ref="A55:B55"/>
    <mergeCell ref="A56:B56"/>
    <mergeCell ref="A57:B57"/>
    <mergeCell ref="A58:B58"/>
    <mergeCell ref="A46:F46"/>
    <mergeCell ref="A48:B48"/>
    <mergeCell ref="A49:B49"/>
    <mergeCell ref="A50:B50"/>
    <mergeCell ref="A51:B51"/>
    <mergeCell ref="A52:B52"/>
    <mergeCell ref="A19:B19"/>
    <mergeCell ref="A20:B20"/>
    <mergeCell ref="A21:B21"/>
    <mergeCell ref="A22:B22"/>
    <mergeCell ref="A23:B23"/>
    <mergeCell ref="A24:B24"/>
    <mergeCell ref="B3:D3"/>
    <mergeCell ref="A13:F13"/>
    <mergeCell ref="A14:F14"/>
    <mergeCell ref="A16:B16"/>
    <mergeCell ref="A17:B17"/>
    <mergeCell ref="A18:B18"/>
  </mergeCells>
  <printOptions horizontalCentered="1"/>
  <pageMargins left="0.5" right="0.5" top="0.5" bottom="0.5" header="0.5" footer="0.5"/>
  <pageSetup orientation="portrait" r:id="rId1"/>
  <headerFooter alignWithMargins="0"/>
  <rowBreaks count="1" manualBreakCount="1">
    <brk id="89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3"/>
  <sheetViews>
    <sheetView topLeftCell="L31" zoomScaleNormal="100" workbookViewId="0">
      <selection activeCell="T62" sqref="T62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7.625" style="2" bestFit="1" customWidth="1"/>
    <col min="6" max="6" width="19.125" style="2" customWidth="1"/>
    <col min="7" max="7" width="14.5" style="2" bestFit="1" customWidth="1"/>
    <col min="8" max="8" width="18.25" style="2" customWidth="1"/>
    <col min="9" max="9" width="13.25" style="2" bestFit="1" customWidth="1"/>
    <col min="10" max="10" width="27.25" style="2" bestFit="1" customWidth="1"/>
    <col min="11" max="11" width="14" style="2" bestFit="1" customWidth="1"/>
    <col min="12" max="12" width="13.125" style="2" bestFit="1" customWidth="1"/>
    <col min="13" max="13" width="10.25" style="2" customWidth="1"/>
    <col min="14" max="14" width="11.5" style="2" customWidth="1"/>
    <col min="15" max="15" width="11.125" style="2" bestFit="1" customWidth="1"/>
    <col min="16" max="16" width="13.25" style="2" bestFit="1" customWidth="1"/>
    <col min="17" max="17" width="12.125" style="2" customWidth="1"/>
    <col min="18" max="18" width="12.5" style="2" bestFit="1" customWidth="1"/>
    <col min="19" max="19" width="13" style="2" customWidth="1"/>
    <col min="20" max="20" width="12.5" style="2" bestFit="1" customWidth="1"/>
    <col min="21" max="21" width="11.125" style="2" bestFit="1" customWidth="1"/>
    <col min="22" max="22" width="11.5" style="2" customWidth="1"/>
    <col min="23" max="23" width="12.625" style="2" customWidth="1"/>
    <col min="24" max="24" width="11.125" style="2" bestFit="1" customWidth="1"/>
    <col min="25" max="25" width="13.375" style="2" customWidth="1"/>
    <col min="26" max="26" width="12.5" style="2" bestFit="1" customWidth="1"/>
    <col min="27" max="27" width="9" style="2"/>
    <col min="28" max="28" width="11.75" style="2" customWidth="1"/>
    <col min="29" max="29" width="9" style="2"/>
    <col min="30" max="30" width="14.125" style="2" customWidth="1"/>
    <col min="31" max="16384" width="9" style="2"/>
  </cols>
  <sheetData>
    <row r="1" spans="1:24" ht="15.95" customHeight="1">
      <c r="E1" s="3"/>
      <c r="F1" s="3" t="s">
        <v>23</v>
      </c>
    </row>
    <row r="2" spans="1:24" ht="15.95" customHeight="1">
      <c r="E2" s="3"/>
      <c r="F2" s="3" t="s">
        <v>52</v>
      </c>
    </row>
    <row r="3" spans="1:24" ht="15.95" customHeight="1">
      <c r="B3" s="127" t="s">
        <v>41</v>
      </c>
      <c r="C3" s="127"/>
      <c r="D3" s="127"/>
      <c r="E3" s="3"/>
      <c r="F3" s="3" t="s">
        <v>53</v>
      </c>
    </row>
    <row r="4" spans="1:24" ht="15.95" customHeight="1">
      <c r="E4" s="3"/>
      <c r="F4" s="3" t="s">
        <v>54</v>
      </c>
    </row>
    <row r="5" spans="1:24" ht="15.95" customHeight="1">
      <c r="E5" s="3"/>
      <c r="F5" s="3" t="s">
        <v>24</v>
      </c>
    </row>
    <row r="6" spans="1:24" ht="15.75">
      <c r="A6" s="4"/>
      <c r="B6" s="4"/>
      <c r="C6" s="4"/>
      <c r="D6" s="5"/>
      <c r="E6" s="5"/>
      <c r="F6" s="4"/>
    </row>
    <row r="7" spans="1:24" ht="15.75">
      <c r="D7" s="3"/>
      <c r="E7" s="3"/>
    </row>
    <row r="8" spans="1:24" ht="19.5" customHeight="1">
      <c r="A8" s="6" t="s">
        <v>36</v>
      </c>
      <c r="B8" s="7" t="s">
        <v>37</v>
      </c>
    </row>
    <row r="9" spans="1:24" ht="19.5" customHeight="1">
      <c r="A9" s="6" t="s">
        <v>38</v>
      </c>
      <c r="B9" s="7" t="s">
        <v>93</v>
      </c>
    </row>
    <row r="10" spans="1:24" ht="19.5" customHeight="1">
      <c r="A10" s="6" t="s">
        <v>39</v>
      </c>
      <c r="B10" s="8">
        <v>40739</v>
      </c>
    </row>
    <row r="11" spans="1:24" ht="19.5" customHeight="1">
      <c r="A11" s="6" t="s">
        <v>40</v>
      </c>
      <c r="B11" s="7" t="s">
        <v>171</v>
      </c>
    </row>
    <row r="12" spans="1:24" ht="19.5" customHeight="1">
      <c r="A12" s="6"/>
      <c r="B12" s="7"/>
    </row>
    <row r="13" spans="1:24" ht="17.25" customHeight="1">
      <c r="A13" s="132"/>
      <c r="B13" s="132"/>
      <c r="C13" s="132"/>
      <c r="D13" s="132"/>
      <c r="E13" s="132"/>
      <c r="F13" s="132"/>
    </row>
    <row r="14" spans="1:24" ht="24" customHeight="1">
      <c r="A14" s="133" t="s">
        <v>172</v>
      </c>
      <c r="B14" s="133"/>
      <c r="C14" s="133"/>
      <c r="D14" s="133"/>
      <c r="E14" s="133"/>
      <c r="F14" s="133"/>
    </row>
    <row r="15" spans="1:24">
      <c r="K15" s="34"/>
      <c r="L15" s="34"/>
      <c r="M15" s="34"/>
      <c r="N15" s="34"/>
    </row>
    <row r="16" spans="1:24" ht="38.25">
      <c r="A16" s="134"/>
      <c r="B16" s="134"/>
      <c r="C16" s="9" t="s">
        <v>151</v>
      </c>
      <c r="D16" s="9" t="s">
        <v>167</v>
      </c>
      <c r="E16" s="9" t="s">
        <v>25</v>
      </c>
      <c r="F16" s="9" t="s">
        <v>178</v>
      </c>
      <c r="G16" s="10">
        <v>0.75</v>
      </c>
      <c r="H16" s="2" t="s">
        <v>42</v>
      </c>
      <c r="I16" s="10">
        <v>0.75</v>
      </c>
      <c r="K16" s="9" t="s">
        <v>151</v>
      </c>
      <c r="L16" s="9" t="s">
        <v>152</v>
      </c>
      <c r="M16" s="9">
        <v>2011</v>
      </c>
      <c r="N16" s="9" t="s">
        <v>94</v>
      </c>
      <c r="O16" s="9" t="s">
        <v>168</v>
      </c>
      <c r="P16" s="9">
        <v>2010</v>
      </c>
      <c r="Q16" s="9" t="s">
        <v>1</v>
      </c>
      <c r="R16" s="9" t="s">
        <v>169</v>
      </c>
      <c r="S16" s="9" t="s">
        <v>106</v>
      </c>
      <c r="T16" s="9">
        <v>2009</v>
      </c>
      <c r="U16" s="9" t="s">
        <v>104</v>
      </c>
      <c r="V16" s="9" t="s">
        <v>170</v>
      </c>
      <c r="W16" s="9" t="s">
        <v>107</v>
      </c>
      <c r="X16" s="9">
        <v>2008</v>
      </c>
    </row>
    <row r="17" spans="1:24" ht="15.75" customHeight="1">
      <c r="A17" s="131" t="s">
        <v>26</v>
      </c>
      <c r="B17" s="131"/>
      <c r="C17" s="11">
        <f>K17</f>
        <v>170741229</v>
      </c>
      <c r="D17" s="11">
        <f>L17</f>
        <v>170012101</v>
      </c>
      <c r="E17" s="12">
        <f t="shared" ref="E17:E24" si="0">(D17/C17)</f>
        <v>0.99572963130070946</v>
      </c>
      <c r="F17" s="29">
        <f t="shared" ref="F17:F23" si="1">D17-G17</f>
        <v>41956179.25</v>
      </c>
      <c r="G17" s="14">
        <f>C17*0.75</f>
        <v>128055921.75</v>
      </c>
      <c r="H17" s="15">
        <f t="shared" ref="H17:H22" si="2">C17-D17</f>
        <v>729128</v>
      </c>
      <c r="I17" s="10">
        <v>0.75</v>
      </c>
      <c r="J17" s="21" t="str">
        <f>A17</f>
        <v>Current / Delinquent Taxes</v>
      </c>
      <c r="K17" s="82">
        <v>170741229</v>
      </c>
      <c r="L17" s="82">
        <v>170012101</v>
      </c>
      <c r="M17" s="41">
        <f t="shared" ref="M17:M24" si="3">(L17/K17)</f>
        <v>0.99572963130070946</v>
      </c>
      <c r="N17" s="11">
        <v>175930506</v>
      </c>
      <c r="O17" s="11">
        <v>173979625.33000001</v>
      </c>
      <c r="P17" s="12">
        <f t="shared" ref="P17:P24" si="4">(O17/N17)</f>
        <v>0.98891107225031238</v>
      </c>
      <c r="Q17" s="11">
        <f>'FY 2009 Rev 01-15-10'!E3</f>
        <v>173590951</v>
      </c>
      <c r="R17" s="11">
        <f>SUM('FY 2009 Rev 01-15-10'!F3:N3)</f>
        <v>172769380.41</v>
      </c>
      <c r="S17" s="11">
        <f>'FY 2009 Rev 01-15-10'!D3</f>
        <v>174870775.59</v>
      </c>
      <c r="T17" s="12">
        <f t="shared" ref="T17:T24" si="5">R17/S17</f>
        <v>0.98798315400094683</v>
      </c>
      <c r="U17" s="11">
        <f>'FY 2008 Rev 01-15-10'!E3</f>
        <v>171068428</v>
      </c>
      <c r="V17" s="11">
        <f>SUM('FY 2008 Rev 01-15-10'!F3:N3)</f>
        <v>168530025.16999999</v>
      </c>
      <c r="W17" s="11">
        <f>'FY 2008 Rev 01-15-10'!D3</f>
        <v>171077825.91999999</v>
      </c>
      <c r="X17" s="12">
        <f t="shared" ref="X17:X24" si="6">V17/W17</f>
        <v>0.98510735838324592</v>
      </c>
    </row>
    <row r="18" spans="1:24" ht="15.75" customHeight="1">
      <c r="A18" s="131" t="s">
        <v>95</v>
      </c>
      <c r="B18" s="131"/>
      <c r="C18" s="16">
        <f>K18</f>
        <v>246000</v>
      </c>
      <c r="D18" s="16">
        <f>L18</f>
        <v>260566</v>
      </c>
      <c r="E18" s="12">
        <f>(D18/C18)</f>
        <v>1.0592113821138212</v>
      </c>
      <c r="F18" s="22">
        <f>D18-G18</f>
        <v>76066</v>
      </c>
      <c r="G18" s="14">
        <f t="shared" ref="G18:G24" si="7">C18*0.75</f>
        <v>184500</v>
      </c>
      <c r="H18" s="15">
        <v>0</v>
      </c>
      <c r="I18" s="10">
        <v>0.75</v>
      </c>
      <c r="J18" s="21" t="str">
        <f t="shared" ref="J18:J23" si="8">A18</f>
        <v>License / Permits</v>
      </c>
      <c r="K18" s="83">
        <v>246000</v>
      </c>
      <c r="L18" s="83">
        <f>5500+255066</f>
        <v>260566</v>
      </c>
      <c r="M18" s="41">
        <f t="shared" si="3"/>
        <v>1.0592113821138212</v>
      </c>
      <c r="N18" s="16">
        <v>335854</v>
      </c>
      <c r="O18" s="28">
        <v>212828.2</v>
      </c>
      <c r="P18" s="12">
        <f t="shared" si="4"/>
        <v>0.63369261643452213</v>
      </c>
      <c r="Q18" s="28">
        <f>'FY 2009 Rev 01-15-10'!E6</f>
        <v>650650</v>
      </c>
      <c r="R18" s="28">
        <f>SUM('FY 2009 Rev 01-15-10'!F6:N6)</f>
        <v>226602.73999999996</v>
      </c>
      <c r="S18" s="28">
        <f>'FY 2009 Rev 01-15-10'!D6</f>
        <v>283457.14</v>
      </c>
      <c r="T18" s="12">
        <f t="shared" si="5"/>
        <v>0.79942505593614599</v>
      </c>
      <c r="U18" s="28">
        <f>'FY 2008 Rev 01-15-10'!E6</f>
        <v>826700</v>
      </c>
      <c r="V18" s="28">
        <f>SUM('FY 2008 Rev 01-15-10'!F6:N6)</f>
        <v>477510.12000000005</v>
      </c>
      <c r="W18" s="28">
        <f>'FY 2008 Rev 01-15-10'!D6</f>
        <v>653856.6</v>
      </c>
      <c r="X18" s="12">
        <f t="shared" si="6"/>
        <v>0.73029792771075508</v>
      </c>
    </row>
    <row r="19" spans="1:24" ht="15.75" customHeight="1">
      <c r="A19" s="131" t="s">
        <v>51</v>
      </c>
      <c r="B19" s="131"/>
      <c r="C19" s="16">
        <f t="shared" ref="C19:D23" si="9">K19</f>
        <v>10310296</v>
      </c>
      <c r="D19" s="16">
        <f t="shared" si="9"/>
        <v>15205124</v>
      </c>
      <c r="E19" s="12">
        <f t="shared" si="0"/>
        <v>1.4747514523346372</v>
      </c>
      <c r="F19" s="22">
        <f t="shared" si="1"/>
        <v>7472402</v>
      </c>
      <c r="G19" s="14">
        <f t="shared" si="7"/>
        <v>7732722</v>
      </c>
      <c r="H19" s="15">
        <v>0</v>
      </c>
      <c r="I19" s="10">
        <v>0.75</v>
      </c>
      <c r="J19" s="21" t="str">
        <f t="shared" si="8"/>
        <v>Intergovernmental Revenue</v>
      </c>
      <c r="K19" s="83">
        <v>10310296</v>
      </c>
      <c r="L19" s="83">
        <f>1546441+270373+90387+9248853+4049070</f>
        <v>15205124</v>
      </c>
      <c r="M19" s="41">
        <f t="shared" si="3"/>
        <v>1.4747514523346372</v>
      </c>
      <c r="N19" s="16">
        <v>10763558</v>
      </c>
      <c r="O19" s="28">
        <v>9403206.629999999</v>
      </c>
      <c r="P19" s="12">
        <f t="shared" si="4"/>
        <v>0.87361508434292812</v>
      </c>
      <c r="Q19" s="28">
        <f>'FY 2009 Rev 01-15-10'!E13</f>
        <v>9723482</v>
      </c>
      <c r="R19" s="28">
        <f>SUM('FY 2009 Rev 01-15-10'!F13:N13)</f>
        <v>11878328.279999999</v>
      </c>
      <c r="S19" s="28">
        <f>'FY 2009 Rev 01-15-10'!D13</f>
        <v>18664970.830000002</v>
      </c>
      <c r="T19" s="12">
        <f t="shared" si="5"/>
        <v>0.63639683062928198</v>
      </c>
      <c r="U19" s="28">
        <f>'FY 2008 Rev 01-15-10'!E12</f>
        <v>14349223</v>
      </c>
      <c r="V19" s="28">
        <f>SUM('FY 2008 Rev 01-15-10'!F12:N12)</f>
        <v>10791727.23</v>
      </c>
      <c r="W19" s="28">
        <f>'FY 2008 Rev 01-15-10'!D12</f>
        <v>16017505.82</v>
      </c>
      <c r="X19" s="12">
        <f t="shared" si="6"/>
        <v>0.67374579733413198</v>
      </c>
    </row>
    <row r="20" spans="1:24" ht="15.75" customHeight="1">
      <c r="A20" s="131" t="s">
        <v>2</v>
      </c>
      <c r="B20" s="131"/>
      <c r="C20" s="16">
        <f t="shared" si="9"/>
        <v>38925096</v>
      </c>
      <c r="D20" s="16">
        <f t="shared" si="9"/>
        <v>29392645</v>
      </c>
      <c r="E20" s="12">
        <f t="shared" si="0"/>
        <v>0.75510783582910113</v>
      </c>
      <c r="F20" s="22">
        <f t="shared" si="1"/>
        <v>198823</v>
      </c>
      <c r="G20" s="14">
        <f t="shared" si="7"/>
        <v>29193822</v>
      </c>
      <c r="H20" s="15">
        <f t="shared" si="2"/>
        <v>9532451</v>
      </c>
      <c r="I20" s="10">
        <v>0.75</v>
      </c>
      <c r="J20" s="21" t="str">
        <f t="shared" si="8"/>
        <v>Fees/Charges for Services</v>
      </c>
      <c r="K20" s="83">
        <v>38925096</v>
      </c>
      <c r="L20" s="83">
        <f>5178613+4488708+5642564+23208+3270911+10788641</f>
        <v>29392645</v>
      </c>
      <c r="M20" s="41">
        <f t="shared" si="3"/>
        <v>0.75510783582910113</v>
      </c>
      <c r="N20" s="16">
        <v>40351226</v>
      </c>
      <c r="O20" s="28">
        <v>28642345.460000001</v>
      </c>
      <c r="P20" s="12">
        <f t="shared" si="4"/>
        <v>0.70982590367886222</v>
      </c>
      <c r="Q20" s="28">
        <f>'FY 2009 Rev 01-15-10'!E21</f>
        <v>38656872</v>
      </c>
      <c r="R20" s="28">
        <f>SUM('FY 2009 Rev 01-15-10'!F21:N21)</f>
        <v>27411601.84</v>
      </c>
      <c r="S20" s="28">
        <f>'FY 2009 Rev 01-15-10'!D21</f>
        <v>38824923.710000001</v>
      </c>
      <c r="T20" s="12">
        <f t="shared" si="5"/>
        <v>0.706031054812857</v>
      </c>
      <c r="U20" s="28">
        <f>'FY 2008 Rev 01-15-10'!E20</f>
        <v>34135331</v>
      </c>
      <c r="V20" s="28">
        <f>SUM('FY 2008 Rev 01-15-10'!F20:N20)</f>
        <v>29665368.060000002</v>
      </c>
      <c r="W20" s="28">
        <f>'FY 2008 Rev 01-15-10'!D20</f>
        <v>39520826.649999999</v>
      </c>
      <c r="X20" s="12">
        <f t="shared" si="6"/>
        <v>0.75062620331095742</v>
      </c>
    </row>
    <row r="21" spans="1:24" ht="15.75" customHeight="1">
      <c r="A21" s="131" t="s">
        <v>4</v>
      </c>
      <c r="B21" s="131"/>
      <c r="C21" s="16">
        <f t="shared" si="9"/>
        <v>3814000</v>
      </c>
      <c r="D21" s="16">
        <f t="shared" si="9"/>
        <v>2674351</v>
      </c>
      <c r="E21" s="12">
        <f t="shared" si="0"/>
        <v>0.70119323544834822</v>
      </c>
      <c r="F21" s="22">
        <f t="shared" si="1"/>
        <v>-186149</v>
      </c>
      <c r="G21" s="14">
        <f t="shared" si="7"/>
        <v>2860500</v>
      </c>
      <c r="H21" s="15">
        <f t="shared" si="2"/>
        <v>1139649</v>
      </c>
      <c r="I21" s="10">
        <v>0.75</v>
      </c>
      <c r="J21" s="21" t="str">
        <f t="shared" si="8"/>
        <v>Fines</v>
      </c>
      <c r="K21" s="83">
        <v>3814000</v>
      </c>
      <c r="L21" s="83">
        <v>2674351</v>
      </c>
      <c r="M21" s="41">
        <f t="shared" si="3"/>
        <v>0.70119323544834822</v>
      </c>
      <c r="N21" s="16">
        <v>4596375</v>
      </c>
      <c r="O21" s="28">
        <v>2869668.2</v>
      </c>
      <c r="P21" s="12">
        <f t="shared" si="4"/>
        <v>0.62433291452503337</v>
      </c>
      <c r="Q21" s="28">
        <f>'FY 2009 Rev 01-15-10'!E23</f>
        <v>4675500</v>
      </c>
      <c r="R21" s="28">
        <f>SUM('FY 2009 Rev 01-15-10'!F23:N23)</f>
        <v>3329381.45</v>
      </c>
      <c r="S21" s="28">
        <f>'FY 2009 Rev 01-15-10'!D23</f>
        <v>4484058.21</v>
      </c>
      <c r="T21" s="12">
        <f t="shared" si="5"/>
        <v>0.74249291469389733</v>
      </c>
      <c r="U21" s="28">
        <f>'FY 2008 Rev 01-15-10'!E22</f>
        <v>5009825</v>
      </c>
      <c r="V21" s="28">
        <f>SUM('FY 2008 Rev 01-15-10'!F22:N22)</f>
        <v>3712959.5</v>
      </c>
      <c r="W21" s="28">
        <f>'FY 2008 Rev 01-15-10'!D22</f>
        <v>5028905.6100000003</v>
      </c>
      <c r="X21" s="12">
        <f t="shared" si="6"/>
        <v>0.73832356141597966</v>
      </c>
    </row>
    <row r="22" spans="1:24" ht="15.75" customHeight="1">
      <c r="A22" s="131" t="s">
        <v>3</v>
      </c>
      <c r="B22" s="131"/>
      <c r="C22" s="16">
        <f t="shared" si="9"/>
        <v>3023647</v>
      </c>
      <c r="D22" s="16">
        <f t="shared" si="9"/>
        <v>2829690</v>
      </c>
      <c r="E22" s="12">
        <f t="shared" si="0"/>
        <v>0.93585329239821979</v>
      </c>
      <c r="F22" s="22">
        <f t="shared" si="1"/>
        <v>561954.75</v>
      </c>
      <c r="G22" s="14">
        <f t="shared" si="7"/>
        <v>2267735.25</v>
      </c>
      <c r="H22" s="15">
        <f t="shared" si="2"/>
        <v>193957</v>
      </c>
      <c r="I22" s="10">
        <v>0.75</v>
      </c>
      <c r="J22" s="21" t="str">
        <f t="shared" si="8"/>
        <v>Investment Revenue</v>
      </c>
      <c r="K22" s="83">
        <v>3023647</v>
      </c>
      <c r="L22" s="83">
        <f>1802187+1027503</f>
        <v>2829690</v>
      </c>
      <c r="M22" s="41">
        <f t="shared" si="3"/>
        <v>0.93585329239821979</v>
      </c>
      <c r="N22" s="16">
        <v>6218768</v>
      </c>
      <c r="O22" s="28">
        <v>4085530.95</v>
      </c>
      <c r="P22" s="12">
        <f t="shared" si="4"/>
        <v>0.65696789942959766</v>
      </c>
      <c r="Q22" s="28">
        <f>'FY 2009 Rev 01-15-10'!E26</f>
        <v>9130674</v>
      </c>
      <c r="R22" s="28">
        <f>SUM('FY 2009 Rev 01-15-10'!F26:N26)</f>
        <v>6553315.0100000007</v>
      </c>
      <c r="S22" s="28">
        <f>'FY 2009 Rev 01-15-10'!D26</f>
        <v>8875084.7300000004</v>
      </c>
      <c r="T22" s="12">
        <f t="shared" si="5"/>
        <v>0.73839464178276082</v>
      </c>
      <c r="U22" s="28">
        <v>13003197</v>
      </c>
      <c r="V22" s="28">
        <f>SUM('FY 2008 Rev 01-15-10'!F25:N25)</f>
        <v>12729550.369999999</v>
      </c>
      <c r="W22" s="28">
        <f>'FY 2008 Rev 01-15-10'!D25</f>
        <v>17328876.469999999</v>
      </c>
      <c r="X22" s="12">
        <f t="shared" si="6"/>
        <v>0.73458601843215743</v>
      </c>
    </row>
    <row r="23" spans="1:24" ht="15.75" customHeight="1" thickBot="1">
      <c r="A23" s="131" t="s">
        <v>27</v>
      </c>
      <c r="B23" s="131"/>
      <c r="C23" s="16">
        <f t="shared" si="9"/>
        <v>29807534</v>
      </c>
      <c r="D23" s="16">
        <f t="shared" si="9"/>
        <v>57484982</v>
      </c>
      <c r="E23" s="12">
        <f t="shared" si="0"/>
        <v>1.9285386707937664</v>
      </c>
      <c r="F23" s="22">
        <f t="shared" si="1"/>
        <v>35129331.5</v>
      </c>
      <c r="G23" s="14">
        <f t="shared" si="7"/>
        <v>22355650.5</v>
      </c>
      <c r="H23" s="15">
        <v>0</v>
      </c>
      <c r="I23" s="10">
        <v>0.75</v>
      </c>
      <c r="J23" s="21" t="str">
        <f t="shared" si="8"/>
        <v>Miscellaneous</v>
      </c>
      <c r="K23" s="84">
        <f>19311594+880940+9605000+10000</f>
        <v>29807534</v>
      </c>
      <c r="L23" s="84">
        <f>2393174+921554+17196744+1730+36268+935691+122020+75573+10281708+11353+25509167</f>
        <v>57484982</v>
      </c>
      <c r="M23" s="38">
        <f t="shared" si="3"/>
        <v>1.9285386707937664</v>
      </c>
      <c r="N23" s="32">
        <f>19563765+980361+9265036</f>
        <v>29809162</v>
      </c>
      <c r="O23" s="33">
        <v>29575891.690000001</v>
      </c>
      <c r="P23" s="38">
        <f t="shared" si="4"/>
        <v>0.99217454318239473</v>
      </c>
      <c r="Q23" s="33">
        <f>'FY 2009 Rev 01-15-10'!E30+'FY 2009 Rev 01-15-10'!E36+'FY 2009 Rev 01-15-10'!E43</f>
        <v>27526735</v>
      </c>
      <c r="R23" s="33">
        <f>SUM('FY 2009 Rev 01-15-10'!F30:N30,'FY 2009 Rev 01-15-10'!F36:N36,'FY 2009 Rev 01-15-10'!F43:N43)</f>
        <v>30987206.150000006</v>
      </c>
      <c r="S23" s="33">
        <f>'FY 2009 Rev 01-15-10'!D30+'FY 2009 Rev 01-15-10'!D36+'FY 2009 Rev 01-15-10'!D43</f>
        <v>134307912.17000002</v>
      </c>
      <c r="T23" s="38">
        <f t="shared" si="5"/>
        <v>0.23071765206786926</v>
      </c>
      <c r="U23" s="33">
        <f>'FY 2008 Rev 01-15-10'!E29+'FY 2008 Rev 01-15-10'!E35+'FY 2008 Rev 01-15-10'!E41</f>
        <v>26955037</v>
      </c>
      <c r="V23" s="33">
        <f>SUM('FY 2008 Rev 01-15-10'!F29:N29,'FY 2008 Rev 01-15-10'!F35:N35,'FY 2008 Rev 01-15-10'!F41:N41)</f>
        <v>29731668.530000005</v>
      </c>
      <c r="W23" s="33">
        <f>'FY 2008 Rev 01-15-10'!D29+'FY 2008 Rev 01-15-10'!D35+'FY 2008 Rev 01-15-10'!D41</f>
        <v>103901511.08000001</v>
      </c>
      <c r="X23" s="38">
        <f t="shared" si="6"/>
        <v>0.2861524170433653</v>
      </c>
    </row>
    <row r="24" spans="1:24" ht="15.75" customHeight="1" thickBot="1">
      <c r="A24" s="137" t="s">
        <v>28</v>
      </c>
      <c r="B24" s="137"/>
      <c r="C24" s="11">
        <f>SUM(C17:C23)</f>
        <v>256867802</v>
      </c>
      <c r="D24" s="11">
        <f>SUM(D17:D23)</f>
        <v>277859459</v>
      </c>
      <c r="E24" s="12">
        <f t="shared" si="0"/>
        <v>1.0817216359409654</v>
      </c>
      <c r="F24" s="17">
        <f>SUM(F17:F23)</f>
        <v>85208607.5</v>
      </c>
      <c r="G24" s="14">
        <f t="shared" si="7"/>
        <v>192650851.5</v>
      </c>
      <c r="H24" s="27"/>
      <c r="J24" s="21"/>
      <c r="K24" s="85">
        <f>SUM(K17:K23)</f>
        <v>256867802</v>
      </c>
      <c r="L24" s="85">
        <f>SUM(L17:L23)</f>
        <v>277859459</v>
      </c>
      <c r="M24" s="39">
        <f t="shared" si="3"/>
        <v>1.0817216359409654</v>
      </c>
      <c r="N24" s="31">
        <f>SUM(N17:N23)</f>
        <v>268005449</v>
      </c>
      <c r="O24" s="31">
        <f>SUM(O17:O23)</f>
        <v>248769096.45999998</v>
      </c>
      <c r="P24" s="39">
        <f t="shared" si="4"/>
        <v>0.92822402450481512</v>
      </c>
      <c r="Q24" s="31">
        <f>SUM(Q17:Q23)</f>
        <v>263954864</v>
      </c>
      <c r="R24" s="31">
        <f>SUM(R17:R23)</f>
        <v>253155815.88</v>
      </c>
      <c r="S24" s="31">
        <f>SUM(S17:S23)</f>
        <v>380311182.38</v>
      </c>
      <c r="T24" s="39">
        <f t="shared" si="5"/>
        <v>0.66565441041134399</v>
      </c>
      <c r="U24" s="31">
        <f>SUM(U17:U23)</f>
        <v>265347741</v>
      </c>
      <c r="V24" s="31">
        <f>SUM(V17:V23)</f>
        <v>255638808.97999999</v>
      </c>
      <c r="W24" s="31">
        <f>SUM(W17:W23)</f>
        <v>353529308.14999998</v>
      </c>
      <c r="X24" s="39">
        <f t="shared" si="6"/>
        <v>0.72310499606876799</v>
      </c>
    </row>
    <row r="25" spans="1:24" ht="22.5" customHeight="1" thickTop="1">
      <c r="J25" s="21"/>
      <c r="K25" s="26"/>
    </row>
    <row r="26" spans="1:24">
      <c r="J26" s="21"/>
      <c r="K26" s="26"/>
    </row>
    <row r="29" spans="1:24">
      <c r="L29" s="92"/>
    </row>
    <row r="31" spans="1:24">
      <c r="M31" s="93"/>
    </row>
    <row r="40" spans="1:30">
      <c r="J40" s="35"/>
      <c r="K40" s="35"/>
    </row>
    <row r="41" spans="1:30">
      <c r="J41" s="35"/>
      <c r="K41" s="35"/>
    </row>
    <row r="42" spans="1:30">
      <c r="J42" s="35"/>
      <c r="K42" s="35"/>
    </row>
    <row r="43" spans="1:30">
      <c r="J43" s="35"/>
      <c r="K43" s="35"/>
    </row>
    <row r="44" spans="1:30">
      <c r="J44" s="35"/>
      <c r="K44" s="35"/>
    </row>
    <row r="45" spans="1:30">
      <c r="J45" s="35"/>
      <c r="K45" s="35"/>
    </row>
    <row r="46" spans="1:30" ht="39.75" customHeight="1">
      <c r="A46" s="133" t="s">
        <v>173</v>
      </c>
      <c r="B46" s="133"/>
      <c r="C46" s="133"/>
      <c r="D46" s="133"/>
      <c r="E46" s="133"/>
      <c r="F46" s="133"/>
      <c r="J46" s="35"/>
      <c r="K46" s="35"/>
    </row>
    <row r="47" spans="1:30" ht="12" customHeight="1">
      <c r="B47" s="18"/>
      <c r="C47" s="18"/>
      <c r="D47" s="18"/>
      <c r="E47" s="18"/>
      <c r="J47" s="35"/>
      <c r="K47" s="35"/>
    </row>
    <row r="48" spans="1:30" ht="36" customHeight="1">
      <c r="A48" s="138"/>
      <c r="B48" s="138"/>
      <c r="C48" s="19" t="s">
        <v>151</v>
      </c>
      <c r="D48" s="19" t="s">
        <v>174</v>
      </c>
      <c r="E48" s="19" t="s">
        <v>25</v>
      </c>
      <c r="F48" s="9" t="s">
        <v>178</v>
      </c>
      <c r="G48" s="10">
        <v>0.75</v>
      </c>
      <c r="H48" s="2" t="s">
        <v>43</v>
      </c>
      <c r="K48" s="40" t="s">
        <v>151</v>
      </c>
      <c r="L48" s="36" t="s">
        <v>155</v>
      </c>
      <c r="M48" s="37">
        <v>2011</v>
      </c>
      <c r="N48" s="36" t="s">
        <v>156</v>
      </c>
      <c r="O48" s="40" t="s">
        <v>94</v>
      </c>
      <c r="P48" s="36" t="s">
        <v>175</v>
      </c>
      <c r="Q48" s="37">
        <v>2010</v>
      </c>
      <c r="R48" s="36" t="s">
        <v>109</v>
      </c>
      <c r="S48" s="36" t="s">
        <v>1</v>
      </c>
      <c r="T48" s="36" t="s">
        <v>176</v>
      </c>
      <c r="U48" s="37">
        <v>2009</v>
      </c>
      <c r="V48" s="36" t="s">
        <v>111</v>
      </c>
      <c r="W48" s="36">
        <v>2009</v>
      </c>
      <c r="X48" s="36" t="s">
        <v>112</v>
      </c>
      <c r="Y48" s="36" t="s">
        <v>104</v>
      </c>
      <c r="Z48" s="36" t="s">
        <v>177</v>
      </c>
      <c r="AA48" s="37">
        <v>2008</v>
      </c>
      <c r="AB48" s="36" t="s">
        <v>114</v>
      </c>
      <c r="AC48" s="36">
        <v>2008</v>
      </c>
      <c r="AD48" s="36" t="s">
        <v>115</v>
      </c>
    </row>
    <row r="49" spans="1:30" ht="15.75" customHeight="1">
      <c r="A49" s="135" t="s">
        <v>29</v>
      </c>
      <c r="B49" s="136"/>
      <c r="C49" s="11">
        <f>K49</f>
        <v>359430</v>
      </c>
      <c r="D49" s="91">
        <f>L49</f>
        <v>213324</v>
      </c>
      <c r="E49" s="12">
        <f t="shared" ref="E49:E62" si="10">(D49/C49)</f>
        <v>0.59350638510975706</v>
      </c>
      <c r="F49" s="11">
        <f>+G49-D49</f>
        <v>56248.5</v>
      </c>
      <c r="G49" s="23">
        <f>C49*0.75</f>
        <v>269572.5</v>
      </c>
      <c r="H49" s="24">
        <f>IF(C49&gt;D49,C49-D49,0)</f>
        <v>146106</v>
      </c>
      <c r="I49" s="1">
        <v>0.75</v>
      </c>
      <c r="J49" s="35" t="s">
        <v>29</v>
      </c>
      <c r="K49" s="13">
        <v>359430</v>
      </c>
      <c r="L49" s="82">
        <v>213324</v>
      </c>
      <c r="M49" s="41">
        <f t="shared" ref="M49:M62" si="11">(L49/K49)</f>
        <v>0.59350638510975706</v>
      </c>
      <c r="N49" s="13">
        <f>K49-L49</f>
        <v>146106</v>
      </c>
      <c r="O49" s="13">
        <v>346531</v>
      </c>
      <c r="P49" s="13">
        <v>202151.94</v>
      </c>
      <c r="Q49" s="41">
        <f t="shared" ref="Q49:Q62" si="12">(P49/O49)</f>
        <v>0.58335889141231234</v>
      </c>
      <c r="R49" s="13">
        <f>O49-P49</f>
        <v>144379.06</v>
      </c>
      <c r="S49" s="13">
        <f>'FY 2009 Exp 01-15-10'!C2</f>
        <v>351630</v>
      </c>
      <c r="T49" s="13">
        <f>SUM('FY 2009 Exp 01-15-10'!F2:N2)</f>
        <v>222682.82</v>
      </c>
      <c r="U49" s="41">
        <f>T49/S49</f>
        <v>0.63328731905696334</v>
      </c>
      <c r="V49" s="13">
        <f>'FY 2009 Exp 01-15-10'!D2</f>
        <v>525313</v>
      </c>
      <c r="W49" s="41">
        <f>T49/V49</f>
        <v>0.42390502424268961</v>
      </c>
      <c r="X49" s="13">
        <f>S49-T49</f>
        <v>128947.18</v>
      </c>
      <c r="Y49" s="13">
        <f>'FY 2008 Exp 01-15-10'!C2</f>
        <v>370277</v>
      </c>
      <c r="Z49" s="13">
        <f>SUM('FY 2008 Exp 01-15-10'!F2:N2)</f>
        <v>253196.29</v>
      </c>
      <c r="AA49" s="41">
        <f>Z49/Y49</f>
        <v>0.68380236957737051</v>
      </c>
      <c r="AB49" s="13">
        <f>'FY 2008 Exp 01-15-10'!D2</f>
        <v>727556</v>
      </c>
      <c r="AC49" s="41">
        <f>Z49/AB49</f>
        <v>0.34800934910852221</v>
      </c>
      <c r="AD49" s="13">
        <f>Y49-Z49</f>
        <v>117080.70999999999</v>
      </c>
    </row>
    <row r="50" spans="1:30" ht="15.75" customHeight="1">
      <c r="A50" s="135" t="s">
        <v>116</v>
      </c>
      <c r="B50" s="136"/>
      <c r="C50" s="88">
        <f t="shared" ref="C50:D61" si="13">K50</f>
        <v>1134812</v>
      </c>
      <c r="D50" s="90">
        <f t="shared" si="13"/>
        <v>841701</v>
      </c>
      <c r="E50" s="12">
        <f t="shared" si="10"/>
        <v>0.74170964001085637</v>
      </c>
      <c r="F50" s="22">
        <f t="shared" ref="F50:F62" si="14">+G50-D50</f>
        <v>9408</v>
      </c>
      <c r="G50" s="23">
        <f t="shared" ref="G50:G62" si="15">C50*0.75</f>
        <v>851109</v>
      </c>
      <c r="H50" s="24">
        <f>IF(C50&gt;D50,C50-D50,0)</f>
        <v>293111</v>
      </c>
      <c r="I50" s="1">
        <v>0.75</v>
      </c>
      <c r="J50" s="35" t="s">
        <v>116</v>
      </c>
      <c r="K50" s="83">
        <v>1134812</v>
      </c>
      <c r="L50" s="86">
        <v>841701</v>
      </c>
      <c r="M50" s="41">
        <f t="shared" si="11"/>
        <v>0.74170964001085637</v>
      </c>
      <c r="N50" s="42">
        <f t="shared" ref="N50:N61" si="16">K50-L50</f>
        <v>293111</v>
      </c>
      <c r="O50" s="42">
        <v>1078918</v>
      </c>
      <c r="P50" s="42">
        <v>1981304.88</v>
      </c>
      <c r="Q50" s="41">
        <f t="shared" si="12"/>
        <v>1.8363813375993354</v>
      </c>
      <c r="R50" s="42">
        <f t="shared" ref="R50:R61" si="17">O50-P50</f>
        <v>-902386.87999999989</v>
      </c>
      <c r="S50" s="42">
        <f>'FY 2009 Exp 01-15-10'!C3</f>
        <v>1209220</v>
      </c>
      <c r="T50" s="42">
        <f>SUM('FY 2009 Exp 01-15-10'!F3:N3)</f>
        <v>2196539.5300000003</v>
      </c>
      <c r="U50" s="41">
        <f t="shared" ref="U50:U62" si="18">T50/S50</f>
        <v>1.8164928879773741</v>
      </c>
      <c r="V50" s="42">
        <f>'FY 2009 Exp 01-15-10'!D3</f>
        <v>1275791</v>
      </c>
      <c r="W50" s="41">
        <f t="shared" ref="W50:W62" si="19">T50/V50</f>
        <v>1.7217079678411278</v>
      </c>
      <c r="X50" s="42">
        <f t="shared" ref="X50:X61" si="20">S50-T50</f>
        <v>-987319.53000000026</v>
      </c>
      <c r="Y50" s="42">
        <f>'FY 2008 Exp 01-15-10'!C3</f>
        <v>1199159</v>
      </c>
      <c r="Z50" s="42">
        <f>SUM('FY 2008 Exp 01-15-10'!F3:N3)</f>
        <v>1493205.77</v>
      </c>
      <c r="AA50" s="41">
        <f t="shared" ref="AA50:AA62" si="21">Z50/Y50</f>
        <v>1.2452108269212006</v>
      </c>
      <c r="AB50" s="42">
        <f>'FY 2008 Exp 01-15-10'!D3</f>
        <v>1238216</v>
      </c>
      <c r="AC50" s="41">
        <f t="shared" ref="AC50:AC62" si="22">Z50/AB50</f>
        <v>1.2059331893627607</v>
      </c>
      <c r="AD50" s="13">
        <f t="shared" ref="AD50:AD61" si="23">Y50-Z50</f>
        <v>-294046.77</v>
      </c>
    </row>
    <row r="51" spans="1:30" ht="15.75" customHeight="1">
      <c r="A51" s="135" t="s">
        <v>131</v>
      </c>
      <c r="B51" s="136"/>
      <c r="C51" s="88">
        <f t="shared" si="13"/>
        <v>43487800</v>
      </c>
      <c r="D51" s="90">
        <f t="shared" si="13"/>
        <v>37466177</v>
      </c>
      <c r="E51" s="12">
        <f t="shared" si="10"/>
        <v>0.86153305064868768</v>
      </c>
      <c r="F51" s="22">
        <f t="shared" si="14"/>
        <v>-4850327</v>
      </c>
      <c r="G51" s="23">
        <f t="shared" si="15"/>
        <v>32615850</v>
      </c>
      <c r="H51" s="24">
        <f t="shared" ref="H51:H62" si="24">IF(C51&gt;D51,C51-D51,0)</f>
        <v>6021623</v>
      </c>
      <c r="I51" s="1">
        <v>0.75</v>
      </c>
      <c r="J51" s="35" t="s">
        <v>131</v>
      </c>
      <c r="K51" s="83">
        <v>43487800</v>
      </c>
      <c r="L51" s="86">
        <v>37466177</v>
      </c>
      <c r="M51" s="41">
        <f t="shared" si="11"/>
        <v>0.86153305064868768</v>
      </c>
      <c r="N51" s="42">
        <f t="shared" si="16"/>
        <v>6021623</v>
      </c>
      <c r="O51" s="42">
        <v>43665123</v>
      </c>
      <c r="P51" s="42">
        <v>35056726.109999999</v>
      </c>
      <c r="Q51" s="41">
        <f t="shared" si="12"/>
        <v>0.80285417059285502</v>
      </c>
      <c r="R51" s="42">
        <f t="shared" si="17"/>
        <v>8608396.8900000006</v>
      </c>
      <c r="S51" s="42">
        <f>'FY 2009 Exp 01-15-10'!C4</f>
        <v>42789548</v>
      </c>
      <c r="T51" s="42">
        <f>SUM('FY 2009 Exp 01-15-10'!F4:N4)</f>
        <v>34012144.530000001</v>
      </c>
      <c r="U51" s="41">
        <f t="shared" si="18"/>
        <v>0.79487038587086734</v>
      </c>
      <c r="V51" s="42">
        <f>'FY 2009 Exp 01-15-10'!D4</f>
        <v>47916306</v>
      </c>
      <c r="W51" s="41">
        <f t="shared" si="19"/>
        <v>0.70982401126664485</v>
      </c>
      <c r="X51" s="42">
        <f t="shared" si="20"/>
        <v>8777403.4699999988</v>
      </c>
      <c r="Y51" s="42">
        <f>'FY 2008 Exp 01-15-10'!C4</f>
        <v>39688692</v>
      </c>
      <c r="Z51" s="42">
        <f>SUM('FY 2008 Exp 01-15-10'!F4:N4)</f>
        <v>31669868.079999998</v>
      </c>
      <c r="AA51" s="41">
        <f t="shared" si="21"/>
        <v>0.79795696164539764</v>
      </c>
      <c r="AB51" s="42">
        <f>'FY 2008 Exp 01-15-10'!D4</f>
        <v>50299627</v>
      </c>
      <c r="AC51" s="41">
        <f t="shared" si="22"/>
        <v>0.62962431272104658</v>
      </c>
      <c r="AD51" s="13">
        <f t="shared" si="23"/>
        <v>8018823.9200000018</v>
      </c>
    </row>
    <row r="52" spans="1:30" ht="15.75" customHeight="1">
      <c r="A52" s="135" t="s">
        <v>30</v>
      </c>
      <c r="B52" s="136"/>
      <c r="C52" s="88">
        <f t="shared" si="13"/>
        <v>2892101</v>
      </c>
      <c r="D52" s="90">
        <f t="shared" si="13"/>
        <v>1971916</v>
      </c>
      <c r="E52" s="12">
        <f t="shared" si="10"/>
        <v>0.68182819341371548</v>
      </c>
      <c r="F52" s="22">
        <f t="shared" si="14"/>
        <v>197159.75</v>
      </c>
      <c r="G52" s="23">
        <f t="shared" si="15"/>
        <v>2169075.75</v>
      </c>
      <c r="H52" s="24">
        <f t="shared" si="24"/>
        <v>920185</v>
      </c>
      <c r="I52" s="1">
        <v>0.75</v>
      </c>
      <c r="J52" s="35" t="s">
        <v>30</v>
      </c>
      <c r="K52" s="83">
        <v>2892101</v>
      </c>
      <c r="L52" s="86">
        <v>1971916</v>
      </c>
      <c r="M52" s="41">
        <f t="shared" si="11"/>
        <v>0.68182819341371548</v>
      </c>
      <c r="N52" s="42">
        <f t="shared" si="16"/>
        <v>920185</v>
      </c>
      <c r="O52" s="42">
        <v>3263326</v>
      </c>
      <c r="P52" s="42">
        <v>2325326.02</v>
      </c>
      <c r="Q52" s="41">
        <f t="shared" si="12"/>
        <v>0.71256320085703972</v>
      </c>
      <c r="R52" s="42">
        <f t="shared" si="17"/>
        <v>937999.98</v>
      </c>
      <c r="S52" s="42">
        <f>'FY 2009 Exp 01-15-10'!C5</f>
        <v>3360551</v>
      </c>
      <c r="T52" s="42">
        <f>SUM('FY 2009 Exp 01-15-10'!F5:N5)</f>
        <v>2762080.41</v>
      </c>
      <c r="U52" s="41">
        <f t="shared" si="18"/>
        <v>0.82191295713113721</v>
      </c>
      <c r="V52" s="42">
        <f>'FY 2009 Exp 01-15-10'!D5</f>
        <v>3318332</v>
      </c>
      <c r="W52" s="41">
        <f t="shared" si="19"/>
        <v>0.83237012149477518</v>
      </c>
      <c r="X52" s="42">
        <f t="shared" si="20"/>
        <v>598470.58999999985</v>
      </c>
      <c r="Y52" s="42">
        <f>'FY 2008 Exp 01-15-10'!C5</f>
        <v>2433415</v>
      </c>
      <c r="Z52" s="42">
        <f>SUM('FY 2008 Exp 01-15-10'!F5:N5)</f>
        <v>2078991.9600000002</v>
      </c>
      <c r="AA52" s="41">
        <f t="shared" si="21"/>
        <v>0.85435158409067102</v>
      </c>
      <c r="AB52" s="42">
        <f>'FY 2008 Exp 01-15-10'!D5</f>
        <v>3139760</v>
      </c>
      <c r="AC52" s="41">
        <f t="shared" si="22"/>
        <v>0.66214996050653563</v>
      </c>
      <c r="AD52" s="13">
        <f t="shared" si="23"/>
        <v>354423.0399999998</v>
      </c>
    </row>
    <row r="53" spans="1:30" ht="15.75" customHeight="1">
      <c r="A53" s="135" t="s">
        <v>15</v>
      </c>
      <c r="B53" s="136"/>
      <c r="C53" s="88">
        <f t="shared" si="13"/>
        <v>10586321</v>
      </c>
      <c r="D53" s="90">
        <f t="shared" si="13"/>
        <v>7523615</v>
      </c>
      <c r="E53" s="12">
        <f t="shared" si="10"/>
        <v>0.71069212807735571</v>
      </c>
      <c r="F53" s="22">
        <f t="shared" si="14"/>
        <v>416125.75</v>
      </c>
      <c r="G53" s="23">
        <f t="shared" si="15"/>
        <v>7939740.75</v>
      </c>
      <c r="H53" s="24">
        <f t="shared" si="24"/>
        <v>3062706</v>
      </c>
      <c r="I53" s="1">
        <v>0.75</v>
      </c>
      <c r="J53" s="35" t="s">
        <v>15</v>
      </c>
      <c r="K53" s="83">
        <v>10586321</v>
      </c>
      <c r="L53" s="86">
        <v>7523615</v>
      </c>
      <c r="M53" s="41">
        <f t="shared" si="11"/>
        <v>0.71069212807735571</v>
      </c>
      <c r="N53" s="42">
        <f t="shared" si="16"/>
        <v>3062706</v>
      </c>
      <c r="O53" s="42">
        <v>10604579</v>
      </c>
      <c r="P53" s="42">
        <v>7648186.1399999997</v>
      </c>
      <c r="Q53" s="41">
        <f t="shared" si="12"/>
        <v>0.7212154428761387</v>
      </c>
      <c r="R53" s="42">
        <f t="shared" si="17"/>
        <v>2956392.8600000003</v>
      </c>
      <c r="S53" s="42">
        <f>'FY 2009 Exp 01-15-10'!C6</f>
        <v>10906229</v>
      </c>
      <c r="T53" s="42">
        <f>SUM('FY 2009 Exp 01-15-10'!F6:N6)</f>
        <v>7281216.5200000005</v>
      </c>
      <c r="U53" s="41">
        <f t="shared" si="18"/>
        <v>0.66761999220812263</v>
      </c>
      <c r="V53" s="42">
        <f>'FY 2009 Exp 01-15-10'!D6</f>
        <v>11732575</v>
      </c>
      <c r="W53" s="41">
        <f t="shared" si="19"/>
        <v>0.62059833582994361</v>
      </c>
      <c r="X53" s="42">
        <f t="shared" si="20"/>
        <v>3625012.4799999995</v>
      </c>
      <c r="Y53" s="42">
        <f>'FY 2008 Exp 01-15-10'!C6</f>
        <v>9925189</v>
      </c>
      <c r="Z53" s="42">
        <f>SUM('FY 2008 Exp 01-15-10'!F6:N6)</f>
        <v>6772283.8600000003</v>
      </c>
      <c r="AA53" s="41">
        <f t="shared" si="21"/>
        <v>0.68233298731137515</v>
      </c>
      <c r="AB53" s="42">
        <f>'FY 2008 Exp 01-15-10'!D6</f>
        <v>10236244</v>
      </c>
      <c r="AC53" s="41">
        <f t="shared" si="22"/>
        <v>0.66159851797202185</v>
      </c>
      <c r="AD53" s="13">
        <f t="shared" si="23"/>
        <v>3152905.1399999997</v>
      </c>
    </row>
    <row r="54" spans="1:30" ht="15.75" customHeight="1">
      <c r="A54" s="135" t="s">
        <v>14</v>
      </c>
      <c r="B54" s="136"/>
      <c r="C54" s="88">
        <f t="shared" si="13"/>
        <v>41179358</v>
      </c>
      <c r="D54" s="90">
        <f t="shared" si="13"/>
        <v>23831231</v>
      </c>
      <c r="E54" s="12">
        <f t="shared" si="10"/>
        <v>0.57871788579122574</v>
      </c>
      <c r="F54" s="22">
        <f t="shared" si="14"/>
        <v>7053287.5</v>
      </c>
      <c r="G54" s="23">
        <f t="shared" si="15"/>
        <v>30884518.5</v>
      </c>
      <c r="H54" s="24">
        <f t="shared" si="24"/>
        <v>17348127</v>
      </c>
      <c r="I54" s="1">
        <v>0.75</v>
      </c>
      <c r="J54" s="35" t="s">
        <v>14</v>
      </c>
      <c r="K54" s="83">
        <v>41179358</v>
      </c>
      <c r="L54" s="86">
        <v>23831231</v>
      </c>
      <c r="M54" s="41">
        <f t="shared" si="11"/>
        <v>0.57871788579122574</v>
      </c>
      <c r="N54" s="42">
        <f t="shared" si="16"/>
        <v>17348127</v>
      </c>
      <c r="O54" s="42">
        <v>40714461</v>
      </c>
      <c r="P54" s="42">
        <v>26634545.899999999</v>
      </c>
      <c r="Q54" s="41">
        <f t="shared" si="12"/>
        <v>0.65417901271000489</v>
      </c>
      <c r="R54" s="42">
        <f t="shared" si="17"/>
        <v>14079915.100000001</v>
      </c>
      <c r="S54" s="42">
        <f>'FY 2009 Exp 01-15-10'!C7</f>
        <v>39128938</v>
      </c>
      <c r="T54" s="42">
        <f>SUM('FY 2009 Exp 01-15-10'!F7:N7)</f>
        <v>22492560.529999997</v>
      </c>
      <c r="U54" s="41">
        <f t="shared" si="18"/>
        <v>0.57483186816877063</v>
      </c>
      <c r="V54" s="42">
        <f>'FY 2009 Exp 01-15-10'!D7</f>
        <v>41658952</v>
      </c>
      <c r="W54" s="41">
        <f t="shared" si="19"/>
        <v>0.53992142025080225</v>
      </c>
      <c r="X54" s="42">
        <f t="shared" si="20"/>
        <v>16636377.470000003</v>
      </c>
      <c r="Y54" s="42">
        <f>'FY 2008 Exp 01-15-10'!C7</f>
        <v>37639150</v>
      </c>
      <c r="Z54" s="42">
        <f>SUM('FY 2008 Exp 01-15-10'!F7:N7)</f>
        <v>20852863.25</v>
      </c>
      <c r="AA54" s="41">
        <f t="shared" si="21"/>
        <v>0.5540205676801947</v>
      </c>
      <c r="AB54" s="42">
        <f>'FY 2008 Exp 01-15-10'!D7</f>
        <v>36096874</v>
      </c>
      <c r="AC54" s="41">
        <f t="shared" si="22"/>
        <v>0.57769166521178539</v>
      </c>
      <c r="AD54" s="13">
        <f t="shared" si="23"/>
        <v>16786286.75</v>
      </c>
    </row>
    <row r="55" spans="1:30" ht="15.75" customHeight="1">
      <c r="A55" s="135" t="s">
        <v>117</v>
      </c>
      <c r="B55" s="136"/>
      <c r="C55" s="88">
        <f t="shared" si="13"/>
        <v>19492602</v>
      </c>
      <c r="D55" s="90">
        <f t="shared" si="13"/>
        <v>13671956</v>
      </c>
      <c r="E55" s="12">
        <f t="shared" si="10"/>
        <v>0.70139204606958061</v>
      </c>
      <c r="F55" s="22">
        <f t="shared" si="14"/>
        <v>947495.5</v>
      </c>
      <c r="G55" s="23">
        <f t="shared" si="15"/>
        <v>14619451.5</v>
      </c>
      <c r="H55" s="24">
        <f t="shared" si="24"/>
        <v>5820646</v>
      </c>
      <c r="I55" s="1">
        <v>0.75</v>
      </c>
      <c r="J55" s="35" t="s">
        <v>117</v>
      </c>
      <c r="K55" s="83">
        <v>19492602</v>
      </c>
      <c r="L55" s="86">
        <v>13671956</v>
      </c>
      <c r="M55" s="41">
        <f t="shared" si="11"/>
        <v>0.70139204606958061</v>
      </c>
      <c r="N55" s="42">
        <f t="shared" si="16"/>
        <v>5820646</v>
      </c>
      <c r="O55" s="42">
        <v>17404071</v>
      </c>
      <c r="P55" s="42">
        <v>13766280.4</v>
      </c>
      <c r="Q55" s="41">
        <f t="shared" si="12"/>
        <v>0.79098047807320482</v>
      </c>
      <c r="R55" s="42">
        <f t="shared" si="17"/>
        <v>3637790.5999999996</v>
      </c>
      <c r="S55" s="42">
        <f>'FY 2009 Exp 01-15-10'!C8</f>
        <v>17368061</v>
      </c>
      <c r="T55" s="42">
        <f>SUM('FY 2009 Exp 01-15-10'!F8:N8)</f>
        <v>12133592.5</v>
      </c>
      <c r="U55" s="41">
        <f t="shared" si="18"/>
        <v>0.69861526280912989</v>
      </c>
      <c r="V55" s="42">
        <f>'FY 2009 Exp 01-15-10'!D8</f>
        <v>17937753</v>
      </c>
      <c r="W55" s="41">
        <f t="shared" si="19"/>
        <v>0.67642767184942287</v>
      </c>
      <c r="X55" s="42">
        <f t="shared" si="20"/>
        <v>5234468.5</v>
      </c>
      <c r="Y55" s="42">
        <f>'FY 2008 Exp 01-15-10'!C8</f>
        <v>17183257</v>
      </c>
      <c r="Z55" s="42">
        <f>SUM('FY 2008 Exp 01-15-10'!F8:N8)</f>
        <v>12053063.74</v>
      </c>
      <c r="AA55" s="41">
        <f t="shared" si="21"/>
        <v>0.70144232493292746</v>
      </c>
      <c r="AB55" s="42">
        <f>'FY 2008 Exp 01-15-10'!D8</f>
        <v>15836617</v>
      </c>
      <c r="AC55" s="41">
        <f t="shared" si="22"/>
        <v>0.76108828924763416</v>
      </c>
      <c r="AD55" s="13">
        <f t="shared" si="23"/>
        <v>5130193.26</v>
      </c>
    </row>
    <row r="56" spans="1:30" ht="15.75" customHeight="1">
      <c r="A56" s="135" t="s">
        <v>31</v>
      </c>
      <c r="B56" s="136"/>
      <c r="C56" s="88">
        <f t="shared" si="13"/>
        <v>17117766</v>
      </c>
      <c r="D56" s="90">
        <f t="shared" si="13"/>
        <v>11957370</v>
      </c>
      <c r="E56" s="12">
        <f t="shared" si="10"/>
        <v>0.69853566172127834</v>
      </c>
      <c r="F56" s="22">
        <f t="shared" si="14"/>
        <v>880954.5</v>
      </c>
      <c r="G56" s="23">
        <f t="shared" si="15"/>
        <v>12838324.5</v>
      </c>
      <c r="H56" s="24">
        <f t="shared" si="24"/>
        <v>5160396</v>
      </c>
      <c r="I56" s="1">
        <v>0.75</v>
      </c>
      <c r="J56" s="35" t="s">
        <v>31</v>
      </c>
      <c r="K56" s="83">
        <v>17117766</v>
      </c>
      <c r="L56" s="86">
        <v>11957370</v>
      </c>
      <c r="M56" s="41">
        <f t="shared" si="11"/>
        <v>0.69853566172127834</v>
      </c>
      <c r="N56" s="42">
        <f t="shared" si="16"/>
        <v>5160396</v>
      </c>
      <c r="O56" s="42">
        <v>17413314</v>
      </c>
      <c r="P56" s="42">
        <v>11991182.59</v>
      </c>
      <c r="Q56" s="41">
        <f t="shared" si="12"/>
        <v>0.68862151052924214</v>
      </c>
      <c r="R56" s="42">
        <f t="shared" si="17"/>
        <v>5422131.4100000001</v>
      </c>
      <c r="S56" s="42">
        <f>'FY 2009 Exp 01-15-10'!C9</f>
        <v>17278014</v>
      </c>
      <c r="T56" s="42">
        <f>SUM('FY 2009 Exp 01-15-10'!F9:N9)</f>
        <v>11419344.209999999</v>
      </c>
      <c r="U56" s="41">
        <f t="shared" si="18"/>
        <v>0.66091763845080798</v>
      </c>
      <c r="V56" s="42">
        <f>'FY 2009 Exp 01-15-10'!D9</f>
        <v>17898937</v>
      </c>
      <c r="W56" s="41">
        <f t="shared" si="19"/>
        <v>0.63799007784652229</v>
      </c>
      <c r="X56" s="42">
        <f t="shared" si="20"/>
        <v>5858669.790000001</v>
      </c>
      <c r="Y56" s="42">
        <f>'FY 2008 Exp 01-15-10'!C9</f>
        <v>16892588</v>
      </c>
      <c r="Z56" s="42">
        <f>SUM('FY 2008 Exp 01-15-10'!F9:N9)</f>
        <v>11241321.18</v>
      </c>
      <c r="AA56" s="41">
        <f t="shared" si="21"/>
        <v>0.66545879056542434</v>
      </c>
      <c r="AB56" s="42">
        <f>'FY 2008 Exp 01-15-10'!D9</f>
        <v>17511804</v>
      </c>
      <c r="AC56" s="41">
        <f t="shared" si="22"/>
        <v>0.6419282205305632</v>
      </c>
      <c r="AD56" s="13">
        <f t="shared" si="23"/>
        <v>5651266.8200000003</v>
      </c>
    </row>
    <row r="57" spans="1:30" ht="15.75" customHeight="1">
      <c r="A57" s="135" t="s">
        <v>32</v>
      </c>
      <c r="B57" s="136"/>
      <c r="C57" s="88">
        <f t="shared" si="13"/>
        <v>10895570</v>
      </c>
      <c r="D57" s="90">
        <f t="shared" si="13"/>
        <v>7892877</v>
      </c>
      <c r="E57" s="12">
        <f t="shared" si="10"/>
        <v>0.72441157277682577</v>
      </c>
      <c r="F57" s="22">
        <f t="shared" si="14"/>
        <v>278800.5</v>
      </c>
      <c r="G57" s="23">
        <f t="shared" si="15"/>
        <v>8171677.5</v>
      </c>
      <c r="H57" s="24">
        <f t="shared" si="24"/>
        <v>3002693</v>
      </c>
      <c r="I57" s="1">
        <v>0.75</v>
      </c>
      <c r="J57" s="35" t="s">
        <v>32</v>
      </c>
      <c r="K57" s="83">
        <v>10895570</v>
      </c>
      <c r="L57" s="86">
        <v>7892877</v>
      </c>
      <c r="M57" s="41">
        <f t="shared" si="11"/>
        <v>0.72441157277682577</v>
      </c>
      <c r="N57" s="42">
        <f t="shared" si="16"/>
        <v>3002693</v>
      </c>
      <c r="O57" s="42">
        <v>10775827</v>
      </c>
      <c r="P57" s="42">
        <v>7962812.9000000004</v>
      </c>
      <c r="Q57" s="41">
        <f t="shared" si="12"/>
        <v>0.73895144196357276</v>
      </c>
      <c r="R57" s="42">
        <f t="shared" si="17"/>
        <v>2813014.0999999996</v>
      </c>
      <c r="S57" s="42">
        <f>'FY 2009 Exp 01-15-10'!C10</f>
        <v>10462445</v>
      </c>
      <c r="T57" s="42">
        <f>SUM('FY 2009 Exp 01-15-10'!F10:N10)</f>
        <v>7385814.9500000002</v>
      </c>
      <c r="U57" s="41">
        <f t="shared" si="18"/>
        <v>0.70593584482403493</v>
      </c>
      <c r="V57" s="42">
        <f>'FY 2009 Exp 01-15-10'!D10</f>
        <v>10559987</v>
      </c>
      <c r="W57" s="41">
        <f t="shared" si="19"/>
        <v>0.69941515553002098</v>
      </c>
      <c r="X57" s="42">
        <f t="shared" si="20"/>
        <v>3076630.05</v>
      </c>
      <c r="Y57" s="42">
        <f>'FY 2008 Exp 01-15-10'!C10</f>
        <v>10123030</v>
      </c>
      <c r="Z57" s="42">
        <f>SUM('FY 2008 Exp 01-15-10'!F10:N10)</f>
        <v>7177177.6799999997</v>
      </c>
      <c r="AA57" s="41">
        <f t="shared" si="21"/>
        <v>0.70899500248443403</v>
      </c>
      <c r="AB57" s="42">
        <f>'FY 2008 Exp 01-15-10'!D10</f>
        <v>10223818</v>
      </c>
      <c r="AC57" s="41">
        <f t="shared" si="22"/>
        <v>0.70200561864461986</v>
      </c>
      <c r="AD57" s="13">
        <f t="shared" si="23"/>
        <v>2945852.3200000003</v>
      </c>
    </row>
    <row r="58" spans="1:30" ht="15.75" customHeight="1">
      <c r="A58" s="135" t="s">
        <v>33</v>
      </c>
      <c r="B58" s="136"/>
      <c r="C58" s="88">
        <f t="shared" si="13"/>
        <v>11591817</v>
      </c>
      <c r="D58" s="90">
        <f t="shared" si="13"/>
        <v>17038459</v>
      </c>
      <c r="E58" s="12">
        <f t="shared" si="10"/>
        <v>1.4698695640208952</v>
      </c>
      <c r="F58" s="22">
        <f t="shared" si="14"/>
        <v>-8344596.25</v>
      </c>
      <c r="G58" s="23">
        <f t="shared" si="15"/>
        <v>8693862.75</v>
      </c>
      <c r="H58" s="24">
        <f t="shared" si="24"/>
        <v>0</v>
      </c>
      <c r="I58" s="1">
        <v>0.75</v>
      </c>
      <c r="J58" s="35" t="s">
        <v>33</v>
      </c>
      <c r="K58" s="83">
        <v>11591817</v>
      </c>
      <c r="L58" s="86">
        <v>17038459</v>
      </c>
      <c r="M58" s="41">
        <f t="shared" si="11"/>
        <v>1.4698695640208952</v>
      </c>
      <c r="N58" s="42">
        <f t="shared" si="16"/>
        <v>-5446642</v>
      </c>
      <c r="O58" s="42">
        <v>13414559</v>
      </c>
      <c r="P58" s="42">
        <v>12073599.41</v>
      </c>
      <c r="Q58" s="41">
        <f t="shared" si="12"/>
        <v>0.9000369978618008</v>
      </c>
      <c r="R58" s="42">
        <f t="shared" si="17"/>
        <v>1340959.5899999999</v>
      </c>
      <c r="S58" s="42">
        <f>'FY 2009 Exp 01-15-10'!C11</f>
        <v>13483773</v>
      </c>
      <c r="T58" s="42">
        <f>SUM('FY 2009 Exp 01-15-10'!F11:N11)</f>
        <v>16032630.470000003</v>
      </c>
      <c r="U58" s="41">
        <f t="shared" si="18"/>
        <v>1.1890314728674238</v>
      </c>
      <c r="V58" s="42">
        <f>'FY 2009 Exp 01-15-10'!D11</f>
        <v>25988724</v>
      </c>
      <c r="W58" s="41">
        <f t="shared" si="19"/>
        <v>0.61690718136065481</v>
      </c>
      <c r="X58" s="42">
        <f t="shared" si="20"/>
        <v>-2548857.4700000025</v>
      </c>
      <c r="Y58" s="42">
        <f>'FY 2008 Exp 01-15-10'!C11</f>
        <v>13190056</v>
      </c>
      <c r="Z58" s="42">
        <f>SUM('FY 2008 Exp 01-15-10'!F11:N11)</f>
        <v>19296970.68</v>
      </c>
      <c r="AA58" s="41">
        <f t="shared" si="21"/>
        <v>1.4629938402081082</v>
      </c>
      <c r="AB58" s="42">
        <f>'FY 2008 Exp 01-15-10'!D11</f>
        <v>40957636</v>
      </c>
      <c r="AC58" s="41">
        <f t="shared" si="22"/>
        <v>0.47114464028148501</v>
      </c>
      <c r="AD58" s="13">
        <f t="shared" si="23"/>
        <v>-6106914.6799999997</v>
      </c>
    </row>
    <row r="59" spans="1:30" ht="15.75" customHeight="1">
      <c r="A59" s="135" t="s">
        <v>34</v>
      </c>
      <c r="B59" s="136"/>
      <c r="C59" s="88">
        <f t="shared" si="13"/>
        <v>65349602</v>
      </c>
      <c r="D59" s="90">
        <f t="shared" si="13"/>
        <v>48082108</v>
      </c>
      <c r="E59" s="12">
        <f t="shared" si="10"/>
        <v>0.73576741905788501</v>
      </c>
      <c r="F59" s="22">
        <f t="shared" si="14"/>
        <v>930093.5</v>
      </c>
      <c r="G59" s="23">
        <f t="shared" si="15"/>
        <v>49012201.5</v>
      </c>
      <c r="H59" s="24">
        <f t="shared" si="24"/>
        <v>17267494</v>
      </c>
      <c r="I59" s="1">
        <v>0.75</v>
      </c>
      <c r="J59" s="35" t="s">
        <v>34</v>
      </c>
      <c r="K59" s="83">
        <v>65349602</v>
      </c>
      <c r="L59" s="86">
        <v>48082108</v>
      </c>
      <c r="M59" s="41">
        <f t="shared" si="11"/>
        <v>0.73576741905788501</v>
      </c>
      <c r="N59" s="42">
        <f t="shared" si="16"/>
        <v>17267494</v>
      </c>
      <c r="O59" s="42">
        <v>65544767</v>
      </c>
      <c r="P59" s="42">
        <v>48274052.920000002</v>
      </c>
      <c r="Q59" s="41">
        <f t="shared" si="12"/>
        <v>0.73650506561416262</v>
      </c>
      <c r="R59" s="42">
        <f t="shared" si="17"/>
        <v>17270714.079999998</v>
      </c>
      <c r="S59" s="42">
        <f>'FY 2009 Exp 01-15-10'!C12</f>
        <v>65608655</v>
      </c>
      <c r="T59" s="42">
        <f>SUM('FY 2009 Exp 01-15-10'!F12:N12)</f>
        <v>45457467.979999997</v>
      </c>
      <c r="U59" s="41">
        <f t="shared" si="18"/>
        <v>0.69285779414316595</v>
      </c>
      <c r="V59" s="42">
        <f>'FY 2009 Exp 01-15-10'!D12</f>
        <v>58058647</v>
      </c>
      <c r="W59" s="41">
        <f t="shared" si="19"/>
        <v>0.78295775614612573</v>
      </c>
      <c r="X59" s="42">
        <f t="shared" si="20"/>
        <v>20151187.020000003</v>
      </c>
      <c r="Y59" s="42">
        <f>'FY 2008 Exp 01-15-10'!C12</f>
        <v>64075535</v>
      </c>
      <c r="Z59" s="42">
        <f>SUM('FY 2008 Exp 01-15-10'!F12:N12)</f>
        <v>45769706.790000007</v>
      </c>
      <c r="AA59" s="41">
        <f t="shared" si="21"/>
        <v>0.71430861700959669</v>
      </c>
      <c r="AB59" s="42">
        <f>'FY 2008 Exp 01-15-10'!D12</f>
        <v>57996969</v>
      </c>
      <c r="AC59" s="41">
        <f t="shared" si="22"/>
        <v>0.78917411684048533</v>
      </c>
      <c r="AD59" s="13">
        <f t="shared" si="23"/>
        <v>18305828.209999993</v>
      </c>
    </row>
    <row r="60" spans="1:30" ht="15.75" customHeight="1">
      <c r="A60" s="135" t="s">
        <v>132</v>
      </c>
      <c r="B60" s="136"/>
      <c r="C60" s="88">
        <f t="shared" si="13"/>
        <v>19688923</v>
      </c>
      <c r="D60" s="90">
        <f t="shared" si="13"/>
        <v>17414205</v>
      </c>
      <c r="E60" s="12">
        <f t="shared" si="10"/>
        <v>0.88446711889726015</v>
      </c>
      <c r="F60" s="22">
        <f t="shared" si="14"/>
        <v>-2647512.75</v>
      </c>
      <c r="G60" s="23">
        <f t="shared" si="15"/>
        <v>14766692.25</v>
      </c>
      <c r="H60" s="24">
        <f t="shared" si="24"/>
        <v>2274718</v>
      </c>
      <c r="I60" s="1">
        <v>0.75</v>
      </c>
      <c r="J60" s="35" t="s">
        <v>132</v>
      </c>
      <c r="K60" s="83">
        <v>19688923</v>
      </c>
      <c r="L60" s="86">
        <v>17414205</v>
      </c>
      <c r="M60" s="41">
        <f t="shared" si="11"/>
        <v>0.88446711889726015</v>
      </c>
      <c r="N60" s="42">
        <f t="shared" si="16"/>
        <v>2274718</v>
      </c>
      <c r="O60" s="42">
        <v>19347332</v>
      </c>
      <c r="P60" s="42">
        <v>45912993.799999997</v>
      </c>
      <c r="Q60" s="41">
        <f t="shared" si="12"/>
        <v>2.3730917420551836</v>
      </c>
      <c r="R60" s="42">
        <f t="shared" si="17"/>
        <v>-26565661.799999997</v>
      </c>
      <c r="S60" s="42">
        <f>'FY 2009 Exp 01-15-10'!C13</f>
        <v>19861346</v>
      </c>
      <c r="T60" s="42">
        <f>SUM('FY 2009 Exp 01-15-10'!F13:N13)</f>
        <v>41555245.810000002</v>
      </c>
      <c r="U60" s="41">
        <f t="shared" si="18"/>
        <v>2.0922673523738018</v>
      </c>
      <c r="V60" s="42">
        <f>'FY 2009 Exp 01-15-10'!D13</f>
        <v>38533167</v>
      </c>
      <c r="W60" s="41">
        <f t="shared" si="19"/>
        <v>1.078427989321511</v>
      </c>
      <c r="X60" s="42">
        <f t="shared" si="20"/>
        <v>-21693899.810000002</v>
      </c>
      <c r="Y60" s="42">
        <f>'FY 2008 Exp 01-15-10'!C13</f>
        <v>17022879</v>
      </c>
      <c r="Z60" s="42">
        <f>SUM('FY 2008 Exp 01-15-10'!F13:N13)</f>
        <v>38181907.269999996</v>
      </c>
      <c r="AA60" s="41">
        <f t="shared" si="21"/>
        <v>2.2429758955579722</v>
      </c>
      <c r="AB60" s="42">
        <f>'FY 2008 Exp 01-15-10'!D13</f>
        <v>37697948</v>
      </c>
      <c r="AC60" s="41">
        <f t="shared" si="22"/>
        <v>1.0128378146736261</v>
      </c>
      <c r="AD60" s="13">
        <f t="shared" si="23"/>
        <v>-21159028.269999996</v>
      </c>
    </row>
    <row r="61" spans="1:30" ht="15.75" customHeight="1" thickBot="1">
      <c r="A61" s="135" t="s">
        <v>35</v>
      </c>
      <c r="B61" s="136"/>
      <c r="C61" s="88">
        <f t="shared" si="13"/>
        <v>28150079</v>
      </c>
      <c r="D61" s="90">
        <f t="shared" si="13"/>
        <v>49529427</v>
      </c>
      <c r="E61" s="12">
        <f t="shared" si="10"/>
        <v>1.7594773712713203</v>
      </c>
      <c r="F61" s="22">
        <f t="shared" si="14"/>
        <v>-28416867.75</v>
      </c>
      <c r="G61" s="23">
        <f t="shared" si="15"/>
        <v>21112559.25</v>
      </c>
      <c r="H61" s="24">
        <f t="shared" si="24"/>
        <v>0</v>
      </c>
      <c r="I61" s="1">
        <v>0.75</v>
      </c>
      <c r="J61" s="35" t="s">
        <v>35</v>
      </c>
      <c r="K61" s="84">
        <v>28150079</v>
      </c>
      <c r="L61" s="87">
        <v>49529427</v>
      </c>
      <c r="M61" s="38">
        <f t="shared" si="11"/>
        <v>1.7594773712713203</v>
      </c>
      <c r="N61" s="44">
        <f t="shared" si="16"/>
        <v>-21379348</v>
      </c>
      <c r="O61" s="44">
        <v>26609348</v>
      </c>
      <c r="P61" s="44">
        <v>26147759.859999999</v>
      </c>
      <c r="Q61" s="38">
        <f t="shared" si="12"/>
        <v>0.98265315858171343</v>
      </c>
      <c r="R61" s="44">
        <f t="shared" si="17"/>
        <v>461588.1400000006</v>
      </c>
      <c r="S61" s="44">
        <f>'FY 2009 Exp 01-15-10'!C14</f>
        <v>27673796</v>
      </c>
      <c r="T61" s="44">
        <f>SUM('FY 2009 Exp 01-15-10'!F14:N14)</f>
        <v>24713842.280000001</v>
      </c>
      <c r="U61" s="38">
        <f t="shared" si="18"/>
        <v>0.89304128280775075</v>
      </c>
      <c r="V61" s="44">
        <f>'FY 2009 Exp 01-15-10'!D14</f>
        <v>70249042</v>
      </c>
      <c r="W61" s="38">
        <f t="shared" si="19"/>
        <v>0.35180326416408642</v>
      </c>
      <c r="X61" s="44">
        <f t="shared" si="20"/>
        <v>2959953.7199999988</v>
      </c>
      <c r="Y61" s="44">
        <f>'FY 2008 Exp 01-15-10'!C14</f>
        <v>25864446</v>
      </c>
      <c r="Z61" s="44">
        <f>SUM('FY 2008 Exp 01-15-10'!F14:N14)</f>
        <v>22258900.990000002</v>
      </c>
      <c r="AA61" s="38">
        <f t="shared" si="21"/>
        <v>0.86059840562600887</v>
      </c>
      <c r="AB61" s="44">
        <f>'FY 2008 Exp 01-15-10'!D14</f>
        <v>40216702</v>
      </c>
      <c r="AC61" s="38">
        <f t="shared" si="22"/>
        <v>0.55347405140282269</v>
      </c>
      <c r="AD61" s="45">
        <f t="shared" si="23"/>
        <v>3605545.0099999979</v>
      </c>
    </row>
    <row r="62" spans="1:30" ht="15.75" customHeight="1" thickBot="1">
      <c r="A62" s="139" t="s">
        <v>28</v>
      </c>
      <c r="B62" s="140"/>
      <c r="C62" s="20">
        <f>SUM(C49:C61)</f>
        <v>271926181</v>
      </c>
      <c r="D62" s="20">
        <f>SUM(D49:D61)</f>
        <v>237434366</v>
      </c>
      <c r="E62" s="12">
        <f t="shared" si="10"/>
        <v>0.87315743238419552</v>
      </c>
      <c r="F62" s="29">
        <f t="shared" si="14"/>
        <v>-33489730.25</v>
      </c>
      <c r="G62" s="23">
        <f t="shared" si="15"/>
        <v>203944635.75</v>
      </c>
      <c r="H62" s="24">
        <f t="shared" si="24"/>
        <v>34491815</v>
      </c>
      <c r="J62" s="30"/>
      <c r="K62" s="43">
        <f>SUM(K49:K61)</f>
        <v>271926181</v>
      </c>
      <c r="L62" s="43">
        <f>SUM(L49:L61)</f>
        <v>237434366</v>
      </c>
      <c r="M62" s="39">
        <f t="shared" si="11"/>
        <v>0.87315743238419552</v>
      </c>
      <c r="N62" s="43">
        <f>SUM(N49:N61)</f>
        <v>34491815</v>
      </c>
      <c r="O62" s="43">
        <f>SUM(O49:O61)</f>
        <v>270182156</v>
      </c>
      <c r="P62" s="43">
        <f>SUM(P49:P61)</f>
        <v>239976922.87000006</v>
      </c>
      <c r="Q62" s="39">
        <f t="shared" si="12"/>
        <v>0.88820418943581181</v>
      </c>
      <c r="R62" s="43">
        <f>SUM(R49:R61)</f>
        <v>30205233.129999995</v>
      </c>
      <c r="S62" s="43">
        <f t="shared" ref="S62:AD62" si="25">SUM(S49:S61)</f>
        <v>269482206</v>
      </c>
      <c r="T62" s="43">
        <f t="shared" si="25"/>
        <v>227665162.53999999</v>
      </c>
      <c r="U62" s="39">
        <f t="shared" si="18"/>
        <v>0.84482447252936621</v>
      </c>
      <c r="V62" s="43">
        <f t="shared" si="25"/>
        <v>345653526</v>
      </c>
      <c r="W62" s="39">
        <f t="shared" si="19"/>
        <v>0.65865135291575183</v>
      </c>
      <c r="X62" s="43">
        <f t="shared" si="25"/>
        <v>41817043.459999986</v>
      </c>
      <c r="Y62" s="43">
        <f t="shared" si="25"/>
        <v>255607673</v>
      </c>
      <c r="Z62" s="43">
        <f t="shared" si="25"/>
        <v>219099457.54000002</v>
      </c>
      <c r="AA62" s="39">
        <f t="shared" si="21"/>
        <v>0.85717089384871492</v>
      </c>
      <c r="AB62" s="43">
        <f t="shared" si="25"/>
        <v>322179771</v>
      </c>
      <c r="AC62" s="39">
        <f t="shared" si="22"/>
        <v>0.68005342750088438</v>
      </c>
      <c r="AD62" s="43">
        <f t="shared" si="25"/>
        <v>36508215.460000001</v>
      </c>
    </row>
    <row r="63" spans="1:30" ht="26.25" customHeight="1" thickTop="1">
      <c r="J63" s="79"/>
    </row>
    <row r="64" spans="1:30">
      <c r="J64" s="79"/>
    </row>
    <row r="65" spans="10:10">
      <c r="J65" s="79"/>
    </row>
    <row r="66" spans="10:10">
      <c r="J66" s="79"/>
    </row>
    <row r="67" spans="10:10">
      <c r="J67" s="79"/>
    </row>
    <row r="68" spans="10:10">
      <c r="J68" s="79"/>
    </row>
    <row r="69" spans="10:10">
      <c r="J69" s="79"/>
    </row>
    <row r="70" spans="10:10">
      <c r="J70" s="79"/>
    </row>
    <row r="71" spans="10:10">
      <c r="J71" s="79"/>
    </row>
    <row r="72" spans="10:10">
      <c r="J72" s="79"/>
    </row>
    <row r="73" spans="10:10">
      <c r="J73" s="79"/>
    </row>
    <row r="74" spans="10:10">
      <c r="J74" s="79"/>
    </row>
    <row r="75" spans="10:10">
      <c r="J75" s="79"/>
    </row>
    <row r="76" spans="10:10">
      <c r="J76" s="80"/>
    </row>
    <row r="77" spans="10:10">
      <c r="J77" s="81"/>
    </row>
    <row r="90" ht="54.75" customHeight="1"/>
    <row r="113" ht="3.75" customHeight="1"/>
  </sheetData>
  <mergeCells count="28">
    <mergeCell ref="A59:B59"/>
    <mergeCell ref="A60:B60"/>
    <mergeCell ref="A61:B61"/>
    <mergeCell ref="A62:B62"/>
    <mergeCell ref="A53:B53"/>
    <mergeCell ref="A54:B54"/>
    <mergeCell ref="A55:B55"/>
    <mergeCell ref="A56:B56"/>
    <mergeCell ref="A57:B57"/>
    <mergeCell ref="A58:B58"/>
    <mergeCell ref="A52:B52"/>
    <mergeCell ref="A19:B19"/>
    <mergeCell ref="A20:B20"/>
    <mergeCell ref="A21:B21"/>
    <mergeCell ref="A22:B22"/>
    <mergeCell ref="A23:B23"/>
    <mergeCell ref="A24:B24"/>
    <mergeCell ref="A46:F46"/>
    <mergeCell ref="A48:B48"/>
    <mergeCell ref="A49:B49"/>
    <mergeCell ref="A50:B50"/>
    <mergeCell ref="A51:B51"/>
    <mergeCell ref="A18:B18"/>
    <mergeCell ref="B3:D3"/>
    <mergeCell ref="A13:F13"/>
    <mergeCell ref="A14:F14"/>
    <mergeCell ref="A16:B16"/>
    <mergeCell ref="A17:B17"/>
  </mergeCells>
  <pageMargins left="0.45" right="0.45" top="0.75" bottom="0.75" header="0.3" footer="0.3"/>
  <pageSetup scale="9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3"/>
  <sheetViews>
    <sheetView topLeftCell="P45" zoomScaleNormal="100" workbookViewId="0">
      <selection activeCell="P49" sqref="P49:P61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7.625" style="2" bestFit="1" customWidth="1"/>
    <col min="6" max="6" width="19.125" style="2" customWidth="1"/>
    <col min="7" max="7" width="14.5" style="2" bestFit="1" customWidth="1"/>
    <col min="8" max="8" width="18.25" style="2" customWidth="1"/>
    <col min="9" max="9" width="13.25" style="2" bestFit="1" customWidth="1"/>
    <col min="10" max="10" width="27.25" style="2" bestFit="1" customWidth="1"/>
    <col min="11" max="11" width="14" style="2" bestFit="1" customWidth="1"/>
    <col min="12" max="12" width="13.125" style="2" bestFit="1" customWidth="1"/>
    <col min="13" max="13" width="10.25" style="2" customWidth="1"/>
    <col min="14" max="14" width="11.5" style="2" customWidth="1"/>
    <col min="15" max="15" width="11.125" style="2" bestFit="1" customWidth="1"/>
    <col min="16" max="16" width="13.25" style="2" bestFit="1" customWidth="1"/>
    <col min="17" max="17" width="12.125" style="2" customWidth="1"/>
    <col min="18" max="18" width="12.5" style="2" bestFit="1" customWidth="1"/>
    <col min="19" max="19" width="13" style="2" customWidth="1"/>
    <col min="20" max="20" width="12.5" style="2" bestFit="1" customWidth="1"/>
    <col min="21" max="21" width="11.125" style="2" bestFit="1" customWidth="1"/>
    <col min="22" max="22" width="11.5" style="2" customWidth="1"/>
    <col min="23" max="23" width="12.625" style="2" customWidth="1"/>
    <col min="24" max="24" width="11.125" style="2" bestFit="1" customWidth="1"/>
    <col min="25" max="25" width="13.375" style="2" customWidth="1"/>
    <col min="26" max="26" width="12.5" style="2" bestFit="1" customWidth="1"/>
    <col min="27" max="27" width="9" style="2"/>
    <col min="28" max="28" width="11.75" style="2" customWidth="1"/>
    <col min="29" max="29" width="9" style="2"/>
    <col min="30" max="30" width="14.125" style="2" customWidth="1"/>
    <col min="31" max="16384" width="9" style="2"/>
  </cols>
  <sheetData>
    <row r="1" spans="1:24" ht="15.95" customHeight="1">
      <c r="E1" s="3"/>
      <c r="F1" s="3" t="s">
        <v>23</v>
      </c>
    </row>
    <row r="2" spans="1:24" ht="15.95" customHeight="1">
      <c r="E2" s="3"/>
      <c r="F2" s="3" t="s">
        <v>52</v>
      </c>
    </row>
    <row r="3" spans="1:24" ht="15.95" customHeight="1">
      <c r="B3" s="127" t="s">
        <v>41</v>
      </c>
      <c r="C3" s="127"/>
      <c r="D3" s="127"/>
      <c r="E3" s="3"/>
      <c r="F3" s="3" t="s">
        <v>53</v>
      </c>
    </row>
    <row r="4" spans="1:24" ht="15.95" customHeight="1">
      <c r="E4" s="3"/>
      <c r="F4" s="3" t="s">
        <v>54</v>
      </c>
    </row>
    <row r="5" spans="1:24" ht="15.95" customHeight="1">
      <c r="E5" s="3"/>
      <c r="F5" s="3" t="s">
        <v>24</v>
      </c>
    </row>
    <row r="6" spans="1:24" ht="15.75">
      <c r="A6" s="4"/>
      <c r="B6" s="4"/>
      <c r="C6" s="4"/>
      <c r="D6" s="5"/>
      <c r="E6" s="5"/>
      <c r="F6" s="4"/>
    </row>
    <row r="7" spans="1:24" ht="15.75">
      <c r="D7" s="3"/>
      <c r="E7" s="3"/>
    </row>
    <row r="8" spans="1:24" ht="19.5" customHeight="1">
      <c r="A8" s="6" t="s">
        <v>36</v>
      </c>
      <c r="B8" s="7" t="s">
        <v>37</v>
      </c>
    </row>
    <row r="9" spans="1:24" ht="19.5" customHeight="1">
      <c r="A9" s="6" t="s">
        <v>38</v>
      </c>
      <c r="B9" s="7" t="s">
        <v>93</v>
      </c>
    </row>
    <row r="10" spans="1:24" ht="19.5" customHeight="1">
      <c r="A10" s="6" t="s">
        <v>39</v>
      </c>
      <c r="B10" s="8">
        <v>40648</v>
      </c>
    </row>
    <row r="11" spans="1:24" ht="19.5" customHeight="1">
      <c r="A11" s="6" t="s">
        <v>40</v>
      </c>
      <c r="B11" s="7" t="s">
        <v>158</v>
      </c>
    </row>
    <row r="12" spans="1:24" ht="19.5" customHeight="1">
      <c r="A12" s="6"/>
      <c r="B12" s="7"/>
    </row>
    <row r="13" spans="1:24" ht="17.25" customHeight="1">
      <c r="A13" s="132"/>
      <c r="B13" s="132"/>
      <c r="C13" s="132"/>
      <c r="D13" s="132"/>
      <c r="E13" s="132"/>
      <c r="F13" s="132"/>
    </row>
    <row r="14" spans="1:24" ht="24" customHeight="1">
      <c r="A14" s="133" t="s">
        <v>127</v>
      </c>
      <c r="B14" s="133"/>
      <c r="C14" s="133"/>
      <c r="D14" s="133"/>
      <c r="E14" s="133"/>
      <c r="F14" s="133"/>
    </row>
    <row r="15" spans="1:24">
      <c r="K15" s="34"/>
      <c r="L15" s="34"/>
      <c r="M15" s="34"/>
      <c r="N15" s="34"/>
    </row>
    <row r="16" spans="1:24" ht="38.25">
      <c r="A16" s="134"/>
      <c r="B16" s="134"/>
      <c r="C16" s="9" t="s">
        <v>151</v>
      </c>
      <c r="D16" s="9" t="s">
        <v>159</v>
      </c>
      <c r="E16" s="9" t="s">
        <v>25</v>
      </c>
      <c r="F16" s="9" t="s">
        <v>134</v>
      </c>
      <c r="G16" s="10">
        <v>0.5</v>
      </c>
      <c r="H16" s="2" t="s">
        <v>42</v>
      </c>
      <c r="I16" s="10">
        <v>0.5</v>
      </c>
      <c r="K16" s="9" t="s">
        <v>151</v>
      </c>
      <c r="L16" s="9" t="s">
        <v>152</v>
      </c>
      <c r="M16" s="9">
        <v>2011</v>
      </c>
      <c r="N16" s="9" t="s">
        <v>94</v>
      </c>
      <c r="O16" s="9" t="s">
        <v>162</v>
      </c>
      <c r="P16" s="9">
        <v>2010</v>
      </c>
      <c r="Q16" s="9" t="s">
        <v>1</v>
      </c>
      <c r="R16" s="9" t="s">
        <v>161</v>
      </c>
      <c r="S16" s="9" t="s">
        <v>106</v>
      </c>
      <c r="T16" s="9">
        <v>2009</v>
      </c>
      <c r="U16" s="9" t="s">
        <v>104</v>
      </c>
      <c r="V16" s="9" t="s">
        <v>160</v>
      </c>
      <c r="W16" s="9" t="s">
        <v>107</v>
      </c>
      <c r="X16" s="9">
        <v>2008</v>
      </c>
    </row>
    <row r="17" spans="1:24" ht="15.75" customHeight="1">
      <c r="A17" s="131" t="s">
        <v>26</v>
      </c>
      <c r="B17" s="131"/>
      <c r="C17" s="11">
        <f>K17</f>
        <v>170749824</v>
      </c>
      <c r="D17" s="11">
        <f>L17</f>
        <v>166859696</v>
      </c>
      <c r="E17" s="12">
        <f t="shared" ref="E17:E24" si="0">(D17/C17)</f>
        <v>0.97721738208058129</v>
      </c>
      <c r="F17" s="29">
        <f t="shared" ref="F17:F23" si="1">D17-G17</f>
        <v>81484784</v>
      </c>
      <c r="G17" s="14">
        <f>C17*0.5</f>
        <v>85374912</v>
      </c>
      <c r="H17" s="15">
        <f t="shared" ref="H17:H22" si="2">C17-D17</f>
        <v>3890128</v>
      </c>
      <c r="I17" s="10">
        <v>0.5</v>
      </c>
      <c r="J17" s="21" t="str">
        <f>A17</f>
        <v>Current / Delinquent Taxes</v>
      </c>
      <c r="K17" s="82">
        <v>170749824</v>
      </c>
      <c r="L17" s="82">
        <v>166859696</v>
      </c>
      <c r="M17" s="41">
        <f t="shared" ref="M17:M24" si="3">(L17/K17)</f>
        <v>0.97721738208058129</v>
      </c>
      <c r="N17" s="11">
        <v>175939506</v>
      </c>
      <c r="O17" s="11">
        <v>170151643.09999999</v>
      </c>
      <c r="P17" s="12">
        <f t="shared" ref="P17:P24" si="4">(O17/N17)</f>
        <v>0.96710310815582257</v>
      </c>
      <c r="Q17" s="11">
        <f>'FY 2009 Rev 01-15-10'!E3</f>
        <v>173590951</v>
      </c>
      <c r="R17" s="11">
        <f>SUM('FY 2009 Rev 01-15-10'!F3:K3)</f>
        <v>168785597.69</v>
      </c>
      <c r="S17" s="11">
        <f>'FY 2009 Rev 01-15-10'!D3</f>
        <v>174870775.59</v>
      </c>
      <c r="T17" s="12">
        <f t="shared" ref="T17:T24" si="5">R17/S17</f>
        <v>0.96520185903293965</v>
      </c>
      <c r="U17" s="11">
        <f>'FY 2008 Rev 01-15-10'!E3</f>
        <v>171068428</v>
      </c>
      <c r="V17" s="11">
        <f>SUM('FY 2008 Rev 01-15-10'!F3:K3)</f>
        <v>163946955.67999998</v>
      </c>
      <c r="W17" s="11">
        <f>'FY 2008 Rev 01-15-10'!D3</f>
        <v>171077825.91999999</v>
      </c>
      <c r="X17" s="12">
        <f t="shared" ref="X17:X24" si="6">V17/W17</f>
        <v>0.95831797486522552</v>
      </c>
    </row>
    <row r="18" spans="1:24" ht="15.75" customHeight="1">
      <c r="A18" s="131" t="s">
        <v>95</v>
      </c>
      <c r="B18" s="131"/>
      <c r="C18" s="16">
        <f>K18</f>
        <v>246000</v>
      </c>
      <c r="D18" s="16">
        <f>L18</f>
        <v>188869</v>
      </c>
      <c r="E18" s="12">
        <f>(D18/C18)</f>
        <v>0.76776016260162605</v>
      </c>
      <c r="F18" s="22">
        <f>D18-G18</f>
        <v>65869</v>
      </c>
      <c r="G18" s="14">
        <f t="shared" ref="G18:G24" si="7">C18*0.5</f>
        <v>123000</v>
      </c>
      <c r="H18" s="15">
        <f t="shared" si="2"/>
        <v>57131</v>
      </c>
      <c r="I18" s="10">
        <v>0.5</v>
      </c>
      <c r="J18" s="21" t="str">
        <f t="shared" ref="J18:J23" si="8">A18</f>
        <v>License / Permits</v>
      </c>
      <c r="K18" s="83">
        <v>246000</v>
      </c>
      <c r="L18" s="83">
        <f>3500+185369</f>
        <v>188869</v>
      </c>
      <c r="M18" s="41">
        <f t="shared" si="3"/>
        <v>0.76776016260162605</v>
      </c>
      <c r="N18" s="16">
        <v>335854</v>
      </c>
      <c r="O18" s="28">
        <v>139009</v>
      </c>
      <c r="P18" s="12">
        <f t="shared" si="4"/>
        <v>0.41389711005377339</v>
      </c>
      <c r="Q18" s="28">
        <f>'FY 2009 Rev 01-15-10'!E6</f>
        <v>650650</v>
      </c>
      <c r="R18" s="28">
        <f>SUM('FY 2009 Rev 01-15-10'!F6:K6)</f>
        <v>164714.09999999998</v>
      </c>
      <c r="S18" s="28">
        <f>'FY 2009 Rev 01-15-10'!D6</f>
        <v>283457.14</v>
      </c>
      <c r="T18" s="12">
        <f t="shared" si="5"/>
        <v>0.58108996654661782</v>
      </c>
      <c r="U18" s="28">
        <f>'FY 2008 Rev 01-15-10'!E6</f>
        <v>826700</v>
      </c>
      <c r="V18" s="28">
        <f>SUM('FY 2008 Rev 01-15-10'!F6:K6)</f>
        <v>308515.22000000003</v>
      </c>
      <c r="W18" s="28">
        <f>'FY 2008 Rev 01-15-10'!D6</f>
        <v>653856.6</v>
      </c>
      <c r="X18" s="12">
        <f t="shared" si="6"/>
        <v>0.47183926873262433</v>
      </c>
    </row>
    <row r="19" spans="1:24" ht="15.75" customHeight="1">
      <c r="A19" s="131" t="s">
        <v>51</v>
      </c>
      <c r="B19" s="131"/>
      <c r="C19" s="16">
        <f t="shared" ref="C19:D23" si="9">K19</f>
        <v>10310296</v>
      </c>
      <c r="D19" s="16">
        <f t="shared" si="9"/>
        <v>8795542</v>
      </c>
      <c r="E19" s="12">
        <f t="shared" si="0"/>
        <v>0.85308336443492994</v>
      </c>
      <c r="F19" s="22">
        <f t="shared" si="1"/>
        <v>3640394</v>
      </c>
      <c r="G19" s="14">
        <f t="shared" si="7"/>
        <v>5155148</v>
      </c>
      <c r="H19" s="27">
        <f t="shared" si="2"/>
        <v>1514754</v>
      </c>
      <c r="I19" s="10">
        <v>0.5</v>
      </c>
      <c r="J19" s="21" t="str">
        <f t="shared" si="8"/>
        <v>Intergovernmental Revenue</v>
      </c>
      <c r="K19" s="83">
        <v>10310296</v>
      </c>
      <c r="L19" s="83">
        <f>1015320+63735+4307615+3408872</f>
        <v>8795542</v>
      </c>
      <c r="M19" s="41">
        <f t="shared" si="3"/>
        <v>0.85308336443492994</v>
      </c>
      <c r="N19" s="16">
        <v>10763558</v>
      </c>
      <c r="O19" s="28">
        <v>5884221.2199999997</v>
      </c>
      <c r="P19" s="12">
        <f t="shared" si="4"/>
        <v>0.54667993799076475</v>
      </c>
      <c r="Q19" s="28">
        <f>'FY 2009 Rev 01-15-10'!E13</f>
        <v>9723482</v>
      </c>
      <c r="R19" s="28">
        <f>SUM('FY 2009 Rev 01-15-10'!F13:K13)</f>
        <v>8485324.1699999999</v>
      </c>
      <c r="S19" s="28">
        <f>'FY 2009 Rev 01-15-10'!D13</f>
        <v>18664970.830000002</v>
      </c>
      <c r="T19" s="12">
        <f t="shared" si="5"/>
        <v>0.45461223846980953</v>
      </c>
      <c r="U19" s="28">
        <f>'FY 2008 Rev 01-15-10'!E12</f>
        <v>14349223</v>
      </c>
      <c r="V19" s="28">
        <f>SUM('FY 2008 Rev 01-15-10'!F12:K12)</f>
        <v>6040941.3100000005</v>
      </c>
      <c r="W19" s="28">
        <f>'FY 2008 Rev 01-15-10'!D12</f>
        <v>16017505.82</v>
      </c>
      <c r="X19" s="12">
        <f t="shared" si="6"/>
        <v>0.37714619104162128</v>
      </c>
    </row>
    <row r="20" spans="1:24" ht="15.75" customHeight="1">
      <c r="A20" s="131" t="s">
        <v>2</v>
      </c>
      <c r="B20" s="131"/>
      <c r="C20" s="16">
        <f t="shared" si="9"/>
        <v>38925096</v>
      </c>
      <c r="D20" s="16">
        <f t="shared" si="9"/>
        <v>19009928</v>
      </c>
      <c r="E20" s="12">
        <f t="shared" si="0"/>
        <v>0.48837202610881164</v>
      </c>
      <c r="F20" s="22">
        <f t="shared" si="1"/>
        <v>-452620</v>
      </c>
      <c r="G20" s="14">
        <f t="shared" si="7"/>
        <v>19462548</v>
      </c>
      <c r="H20" s="27">
        <f t="shared" si="2"/>
        <v>19915168</v>
      </c>
      <c r="I20" s="10">
        <v>0.5</v>
      </c>
      <c r="J20" s="21" t="str">
        <f t="shared" si="8"/>
        <v>Fees/Charges for Services</v>
      </c>
      <c r="K20" s="83">
        <v>38925096</v>
      </c>
      <c r="L20" s="83">
        <f>4021485+3139173+3863523+17588+2441503+5526656</f>
        <v>19009928</v>
      </c>
      <c r="M20" s="41">
        <f t="shared" si="3"/>
        <v>0.48837202610881164</v>
      </c>
      <c r="N20" s="16">
        <v>40351226</v>
      </c>
      <c r="O20" s="28">
        <v>17625387.649999999</v>
      </c>
      <c r="P20" s="12">
        <f t="shared" si="4"/>
        <v>0.43679930939396983</v>
      </c>
      <c r="Q20" s="28">
        <f>'FY 2009 Rev 01-15-10'!E21</f>
        <v>38656872</v>
      </c>
      <c r="R20" s="28">
        <f>SUM('FY 2009 Rev 01-15-10'!F21:K21)</f>
        <v>18859251.09</v>
      </c>
      <c r="S20" s="28">
        <f>'FY 2009 Rev 01-15-10'!D21</f>
        <v>38824923.710000001</v>
      </c>
      <c r="T20" s="12">
        <f t="shared" si="5"/>
        <v>0.4857511435403668</v>
      </c>
      <c r="U20" s="28">
        <f>'FY 2008 Rev 01-15-10'!E20</f>
        <v>34135331</v>
      </c>
      <c r="V20" s="28">
        <f>SUM('FY 2008 Rev 01-15-10'!F20:K20)</f>
        <v>19647906.950000003</v>
      </c>
      <c r="W20" s="28">
        <f>'FY 2008 Rev 01-15-10'!D20</f>
        <v>39520826.649999999</v>
      </c>
      <c r="X20" s="12">
        <f t="shared" si="6"/>
        <v>0.49715323831668901</v>
      </c>
    </row>
    <row r="21" spans="1:24" ht="15.75" customHeight="1">
      <c r="A21" s="131" t="s">
        <v>4</v>
      </c>
      <c r="B21" s="131"/>
      <c r="C21" s="16">
        <f t="shared" si="9"/>
        <v>3814000</v>
      </c>
      <c r="D21" s="16">
        <f t="shared" si="9"/>
        <v>1771396</v>
      </c>
      <c r="E21" s="12">
        <f t="shared" si="0"/>
        <v>0.46444572627163083</v>
      </c>
      <c r="F21" s="22">
        <f t="shared" si="1"/>
        <v>-135604</v>
      </c>
      <c r="G21" s="14">
        <f t="shared" si="7"/>
        <v>1907000</v>
      </c>
      <c r="H21" s="27">
        <f t="shared" si="2"/>
        <v>2042604</v>
      </c>
      <c r="I21" s="10">
        <v>0.5</v>
      </c>
      <c r="J21" s="21" t="str">
        <f t="shared" si="8"/>
        <v>Fines</v>
      </c>
      <c r="K21" s="83">
        <v>3814000</v>
      </c>
      <c r="L21" s="83">
        <v>1771396</v>
      </c>
      <c r="M21" s="41">
        <f t="shared" si="3"/>
        <v>0.46444572627163083</v>
      </c>
      <c r="N21" s="16">
        <v>4596375</v>
      </c>
      <c r="O21" s="28">
        <v>1700946.93</v>
      </c>
      <c r="P21" s="12">
        <f t="shared" si="4"/>
        <v>0.37006269723423346</v>
      </c>
      <c r="Q21" s="28">
        <f>'FY 2009 Rev 01-15-10'!E23</f>
        <v>4675500</v>
      </c>
      <c r="R21" s="28">
        <f>SUM('FY 2009 Rev 01-15-10'!F23:K23)</f>
        <v>2137069.25</v>
      </c>
      <c r="S21" s="28">
        <f>'FY 2009 Rev 01-15-10'!D23</f>
        <v>4484058.21</v>
      </c>
      <c r="T21" s="12">
        <f t="shared" si="5"/>
        <v>0.47659266448282794</v>
      </c>
      <c r="U21" s="28">
        <f>'FY 2008 Rev 01-15-10'!E22</f>
        <v>5009825</v>
      </c>
      <c r="V21" s="28">
        <f>SUM('FY 2008 Rev 01-15-10'!F22:K22)</f>
        <v>1618276.0899999999</v>
      </c>
      <c r="W21" s="28">
        <f>'FY 2008 Rev 01-15-10'!D22</f>
        <v>5028905.6100000003</v>
      </c>
      <c r="X21" s="12">
        <f t="shared" si="6"/>
        <v>0.32179488252514643</v>
      </c>
    </row>
    <row r="22" spans="1:24" ht="15.75" customHeight="1">
      <c r="A22" s="131" t="s">
        <v>3</v>
      </c>
      <c r="B22" s="131"/>
      <c r="C22" s="16">
        <f t="shared" si="9"/>
        <v>3212597</v>
      </c>
      <c r="D22" s="16">
        <f t="shared" si="9"/>
        <v>2173198</v>
      </c>
      <c r="E22" s="12">
        <f t="shared" si="0"/>
        <v>0.67646144225372806</v>
      </c>
      <c r="F22" s="22">
        <f t="shared" si="1"/>
        <v>566899.5</v>
      </c>
      <c r="G22" s="14">
        <f t="shared" si="7"/>
        <v>1606298.5</v>
      </c>
      <c r="H22" s="27">
        <f t="shared" si="2"/>
        <v>1039399</v>
      </c>
      <c r="I22" s="10">
        <v>0.5</v>
      </c>
      <c r="J22" s="21" t="str">
        <f t="shared" si="8"/>
        <v>Investment Revenue</v>
      </c>
      <c r="K22" s="83">
        <v>3212597</v>
      </c>
      <c r="L22" s="83">
        <f>1364800+808398</f>
        <v>2173198</v>
      </c>
      <c r="M22" s="41">
        <f t="shared" si="3"/>
        <v>0.67646144225372806</v>
      </c>
      <c r="N22" s="16">
        <v>8606066</v>
      </c>
      <c r="O22" s="28">
        <v>2195838.4699999997</v>
      </c>
      <c r="P22" s="12">
        <f t="shared" si="4"/>
        <v>0.25515008483551016</v>
      </c>
      <c r="Q22" s="28">
        <f>'FY 2009 Rev 01-15-10'!E26</f>
        <v>9130674</v>
      </c>
      <c r="R22" s="28">
        <f>SUM('FY 2009 Rev 01-15-10'!F26:K26)</f>
        <v>4505873.57</v>
      </c>
      <c r="S22" s="28">
        <f>'FY 2009 Rev 01-15-10'!D26</f>
        <v>8875084.7300000004</v>
      </c>
      <c r="T22" s="12">
        <f t="shared" si="5"/>
        <v>0.50769921719947342</v>
      </c>
      <c r="U22" s="28">
        <f>'FY 2008 Rev 01-15-10'!E25</f>
        <v>13220197</v>
      </c>
      <c r="V22" s="28">
        <f>SUM('FY 2008 Rev 01-15-10'!F25:K25)</f>
        <v>9100403.879999999</v>
      </c>
      <c r="W22" s="28">
        <f>'FY 2008 Rev 01-15-10'!D25</f>
        <v>17328876.469999999</v>
      </c>
      <c r="X22" s="12">
        <f t="shared" si="6"/>
        <v>0.52515833301453496</v>
      </c>
    </row>
    <row r="23" spans="1:24" ht="15.75" customHeight="1" thickBot="1">
      <c r="A23" s="131" t="s">
        <v>27</v>
      </c>
      <c r="B23" s="131"/>
      <c r="C23" s="16">
        <f t="shared" si="9"/>
        <v>29807534</v>
      </c>
      <c r="D23" s="16">
        <f t="shared" si="9"/>
        <v>54436954</v>
      </c>
      <c r="E23" s="12">
        <f t="shared" si="0"/>
        <v>1.8262817044845105</v>
      </c>
      <c r="F23" s="22">
        <f t="shared" si="1"/>
        <v>39533187</v>
      </c>
      <c r="G23" s="14">
        <f t="shared" si="7"/>
        <v>14903767</v>
      </c>
      <c r="H23" s="27">
        <v>0</v>
      </c>
      <c r="I23" s="10">
        <v>0.5</v>
      </c>
      <c r="J23" s="21" t="str">
        <f t="shared" si="8"/>
        <v>Miscellaneous</v>
      </c>
      <c r="K23" s="84">
        <f>19311594+880940+9605000+10000</f>
        <v>29807534</v>
      </c>
      <c r="L23" s="84">
        <f>1473214+738088+15935349+12329+708011+124826+55716+25420561+9966360+2500</f>
        <v>54436954</v>
      </c>
      <c r="M23" s="38">
        <f t="shared" si="3"/>
        <v>1.8262817044845105</v>
      </c>
      <c r="N23" s="32">
        <v>29809162</v>
      </c>
      <c r="O23" s="33">
        <v>25995831.740000002</v>
      </c>
      <c r="P23" s="38">
        <f t="shared" si="4"/>
        <v>0.87207522774373869</v>
      </c>
      <c r="Q23" s="33">
        <f>'FY 2009 Rev 01-15-10'!E30+'FY 2009 Rev 01-15-10'!E36+'FY 2009 Rev 01-15-10'!E43</f>
        <v>27526735</v>
      </c>
      <c r="R23" s="33">
        <f>SUM('FY 2009 Rev 01-15-10'!F30:K30,'FY 2009 Rev 01-15-10'!F36:K36,'FY 2009 Rev 01-15-10'!F43:K43)</f>
        <v>26278938.57</v>
      </c>
      <c r="S23" s="33">
        <f>'FY 2009 Rev 01-15-10'!D30+'FY 2009 Rev 01-15-10'!D36+'FY 2009 Rev 01-15-10'!D43</f>
        <v>134307912.17000002</v>
      </c>
      <c r="T23" s="38">
        <f t="shared" si="5"/>
        <v>0.19566187982088112</v>
      </c>
      <c r="U23" s="33">
        <f>'FY 2008 Rev 01-15-10'!E29+'FY 2008 Rev 01-15-10'!E35+'FY 2008 Rev 01-15-10'!E41</f>
        <v>26955037</v>
      </c>
      <c r="V23" s="33">
        <f>SUM('FY 2008 Rev 01-15-10'!F29:K29,'FY 2008 Rev 01-15-10'!F35:K35,'FY 2008 Rev 01-15-10'!F41:K41)</f>
        <v>24482720.57</v>
      </c>
      <c r="W23" s="33">
        <f>'FY 2008 Rev 01-15-10'!D29+'FY 2008 Rev 01-15-10'!D35+'FY 2008 Rev 01-15-10'!D41</f>
        <v>103901511.08000001</v>
      </c>
      <c r="X23" s="38">
        <f t="shared" si="6"/>
        <v>0.23563392212024023</v>
      </c>
    </row>
    <row r="24" spans="1:24" ht="15.75" customHeight="1" thickBot="1">
      <c r="A24" s="137" t="s">
        <v>28</v>
      </c>
      <c r="B24" s="137"/>
      <c r="C24" s="11">
        <f>SUM(C17:C23)</f>
        <v>257065347</v>
      </c>
      <c r="D24" s="11">
        <f>SUM(D17:D23)</f>
        <v>253235583</v>
      </c>
      <c r="E24" s="12">
        <f t="shared" si="0"/>
        <v>0.98510198264879323</v>
      </c>
      <c r="F24" s="17">
        <f>SUM(F17:F23)</f>
        <v>124702909.5</v>
      </c>
      <c r="G24" s="14">
        <f t="shared" si="7"/>
        <v>128532673.5</v>
      </c>
      <c r="H24" s="27"/>
      <c r="J24" s="21"/>
      <c r="K24" s="85">
        <f>SUM(K17:K23)</f>
        <v>257065347</v>
      </c>
      <c r="L24" s="85">
        <f>SUM(L17:L23)</f>
        <v>253235583</v>
      </c>
      <c r="M24" s="39">
        <f t="shared" si="3"/>
        <v>0.98510198264879323</v>
      </c>
      <c r="N24" s="31">
        <f>SUM(N17:N23)</f>
        <v>270401747</v>
      </c>
      <c r="O24" s="31">
        <f>SUM(O17:O23)</f>
        <v>223692878.11000001</v>
      </c>
      <c r="P24" s="39">
        <f t="shared" si="4"/>
        <v>0.82726121628940519</v>
      </c>
      <c r="Q24" s="31">
        <f>SUM(Q17:Q23)</f>
        <v>263954864</v>
      </c>
      <c r="R24" s="31">
        <f>SUM(R17:R23)</f>
        <v>229216768.43999997</v>
      </c>
      <c r="S24" s="31">
        <f>SUM(S17:S23)</f>
        <v>380311182.38</v>
      </c>
      <c r="T24" s="39">
        <f t="shared" si="5"/>
        <v>0.60270846364693731</v>
      </c>
      <c r="U24" s="31">
        <f>SUM(U17:U23)</f>
        <v>265564741</v>
      </c>
      <c r="V24" s="31">
        <f>SUM(V17:V23)</f>
        <v>225145719.69999996</v>
      </c>
      <c r="W24" s="31">
        <f>SUM(W17:W23)</f>
        <v>353529308.14999998</v>
      </c>
      <c r="X24" s="39">
        <f t="shared" si="6"/>
        <v>0.63685164004697514</v>
      </c>
    </row>
    <row r="25" spans="1:24" ht="22.5" customHeight="1" thickTop="1">
      <c r="J25" s="21"/>
      <c r="K25" s="26"/>
    </row>
    <row r="26" spans="1:24">
      <c r="J26" s="21"/>
      <c r="K26" s="26"/>
    </row>
    <row r="40" spans="1:30">
      <c r="J40" s="35"/>
      <c r="K40" s="35"/>
    </row>
    <row r="41" spans="1:30">
      <c r="J41" s="35"/>
      <c r="K41" s="35"/>
    </row>
    <row r="42" spans="1:30">
      <c r="J42" s="35"/>
      <c r="K42" s="35"/>
    </row>
    <row r="43" spans="1:30">
      <c r="J43" s="35"/>
      <c r="K43" s="35"/>
    </row>
    <row r="44" spans="1:30">
      <c r="J44" s="35"/>
      <c r="K44" s="35"/>
    </row>
    <row r="45" spans="1:30">
      <c r="J45" s="35"/>
      <c r="K45" s="35"/>
    </row>
    <row r="46" spans="1:30" ht="39.75" customHeight="1">
      <c r="A46" s="133" t="s">
        <v>130</v>
      </c>
      <c r="B46" s="133"/>
      <c r="C46" s="133"/>
      <c r="D46" s="133"/>
      <c r="E46" s="133"/>
      <c r="F46" s="133"/>
      <c r="J46" s="35"/>
      <c r="K46" s="35"/>
    </row>
    <row r="47" spans="1:30" ht="12" customHeight="1">
      <c r="B47" s="18"/>
      <c r="C47" s="18"/>
      <c r="D47" s="18"/>
      <c r="E47" s="18"/>
      <c r="J47" s="35"/>
      <c r="K47" s="35"/>
    </row>
    <row r="48" spans="1:30" ht="36" customHeight="1">
      <c r="A48" s="138"/>
      <c r="B48" s="138"/>
      <c r="C48" s="19" t="s">
        <v>151</v>
      </c>
      <c r="D48" s="19" t="s">
        <v>163</v>
      </c>
      <c r="E48" s="19" t="s">
        <v>25</v>
      </c>
      <c r="F48" s="9" t="s">
        <v>134</v>
      </c>
      <c r="G48" s="10">
        <v>0.5</v>
      </c>
      <c r="H48" s="2" t="s">
        <v>43</v>
      </c>
      <c r="K48" s="40" t="s">
        <v>151</v>
      </c>
      <c r="L48" s="36" t="s">
        <v>155</v>
      </c>
      <c r="M48" s="37">
        <v>2011</v>
      </c>
      <c r="N48" s="36" t="s">
        <v>156</v>
      </c>
      <c r="O48" s="40" t="s">
        <v>94</v>
      </c>
      <c r="P48" s="36" t="s">
        <v>166</v>
      </c>
      <c r="Q48" s="37">
        <v>2010</v>
      </c>
      <c r="R48" s="36" t="s">
        <v>109</v>
      </c>
      <c r="S48" s="36" t="s">
        <v>1</v>
      </c>
      <c r="T48" s="36" t="s">
        <v>165</v>
      </c>
      <c r="U48" s="37">
        <v>2009</v>
      </c>
      <c r="V48" s="36" t="s">
        <v>111</v>
      </c>
      <c r="W48" s="36">
        <v>2009</v>
      </c>
      <c r="X48" s="36" t="s">
        <v>112</v>
      </c>
      <c r="Y48" s="36" t="s">
        <v>104</v>
      </c>
      <c r="Z48" s="36" t="s">
        <v>164</v>
      </c>
      <c r="AA48" s="37">
        <v>2008</v>
      </c>
      <c r="AB48" s="36" t="s">
        <v>114</v>
      </c>
      <c r="AC48" s="36">
        <v>2008</v>
      </c>
      <c r="AD48" s="36" t="s">
        <v>115</v>
      </c>
    </row>
    <row r="49" spans="1:30" ht="15.75" customHeight="1">
      <c r="A49" s="135" t="s">
        <v>29</v>
      </c>
      <c r="B49" s="136"/>
      <c r="C49" s="11">
        <f>K49</f>
        <v>359430</v>
      </c>
      <c r="D49" s="91">
        <f>L49</f>
        <v>139650</v>
      </c>
      <c r="E49" s="12">
        <f t="shared" ref="E49:E62" si="10">(D49/C49)</f>
        <v>0.38853184208329855</v>
      </c>
      <c r="F49" s="11">
        <f>+G49-D49</f>
        <v>40065</v>
      </c>
      <c r="G49" s="23">
        <f>C49*0.5</f>
        <v>179715</v>
      </c>
      <c r="H49" s="24">
        <f>IF(C49&gt;D49,C49-D49,0)</f>
        <v>219780</v>
      </c>
      <c r="I49" s="1">
        <v>0.5</v>
      </c>
      <c r="J49" s="35" t="s">
        <v>29</v>
      </c>
      <c r="K49" s="13">
        <v>359430</v>
      </c>
      <c r="L49" s="82">
        <v>139650</v>
      </c>
      <c r="M49" s="41">
        <f t="shared" ref="M49:M62" si="11">(L49/K49)</f>
        <v>0.38853184208329855</v>
      </c>
      <c r="N49" s="13">
        <f>K49-L49</f>
        <v>219780</v>
      </c>
      <c r="O49" s="13">
        <v>346531</v>
      </c>
      <c r="P49" s="13">
        <v>147348.93</v>
      </c>
      <c r="Q49" s="41">
        <f t="shared" ref="Q49:Q62" si="12">(P49/O49)</f>
        <v>0.42521139522870965</v>
      </c>
      <c r="R49" s="13">
        <f>O49-P49</f>
        <v>199182.07</v>
      </c>
      <c r="S49" s="13">
        <f>'FY 2009 Exp 01-15-10'!C2</f>
        <v>351630</v>
      </c>
      <c r="T49" s="13">
        <f>SUM('FY 2009 Exp 01-15-10'!F2:K2)</f>
        <v>162798.17000000001</v>
      </c>
      <c r="U49" s="41">
        <f>T49/S49</f>
        <v>0.46298145778232808</v>
      </c>
      <c r="V49" s="13">
        <f>'FY 2009 Exp 01-15-10'!D2</f>
        <v>525313</v>
      </c>
      <c r="W49" s="41">
        <f>T49/V49</f>
        <v>0.30990698878573347</v>
      </c>
      <c r="X49" s="13">
        <f>S49-T49</f>
        <v>188831.83</v>
      </c>
      <c r="Y49" s="13">
        <f>'FY 2008 Exp 01-15-10'!C2</f>
        <v>370277</v>
      </c>
      <c r="Z49" s="13">
        <f>SUM('FY 2008 Exp 01-15-10'!F2:K2)</f>
        <v>160037.9</v>
      </c>
      <c r="AA49" s="41">
        <f>Z49/Y49</f>
        <v>0.43221129046632656</v>
      </c>
      <c r="AB49" s="13">
        <f>'FY 2008 Exp 01-15-10'!D2</f>
        <v>727556</v>
      </c>
      <c r="AC49" s="41">
        <f>Z49/AB49</f>
        <v>0.21996643557334417</v>
      </c>
      <c r="AD49" s="13">
        <f>Y49-Z49</f>
        <v>210239.1</v>
      </c>
    </row>
    <row r="50" spans="1:30" ht="15.75" customHeight="1">
      <c r="A50" s="135" t="s">
        <v>116</v>
      </c>
      <c r="B50" s="136"/>
      <c r="C50" s="88">
        <f t="shared" ref="C50:D61" si="13">K50</f>
        <v>1134812</v>
      </c>
      <c r="D50" s="90">
        <f t="shared" si="13"/>
        <v>1751403</v>
      </c>
      <c r="E50" s="12">
        <f t="shared" si="10"/>
        <v>1.5433419808743651</v>
      </c>
      <c r="F50" s="22">
        <f t="shared" ref="F50:F62" si="14">+G50-D50</f>
        <v>-1183997</v>
      </c>
      <c r="G50" s="23">
        <f t="shared" ref="G50:G62" si="15">C50*0.5</f>
        <v>567406</v>
      </c>
      <c r="H50" s="24">
        <f>IF(C50&gt;D50,C50-D50,0)</f>
        <v>0</v>
      </c>
      <c r="I50" s="1">
        <v>0.5</v>
      </c>
      <c r="J50" s="35" t="s">
        <v>116</v>
      </c>
      <c r="K50" s="83">
        <v>1134812</v>
      </c>
      <c r="L50" s="86">
        <v>1751403</v>
      </c>
      <c r="M50" s="41">
        <f t="shared" si="11"/>
        <v>1.5433419808743651</v>
      </c>
      <c r="N50" s="42">
        <f t="shared" ref="N50:N61" si="16">K50-L50</f>
        <v>-616591</v>
      </c>
      <c r="O50" s="42">
        <v>1078918</v>
      </c>
      <c r="P50" s="42">
        <v>1525134.47</v>
      </c>
      <c r="Q50" s="41">
        <f t="shared" si="12"/>
        <v>1.4135777417746298</v>
      </c>
      <c r="R50" s="42">
        <f t="shared" ref="R50:R61" si="17">O50-P50</f>
        <v>-446216.47</v>
      </c>
      <c r="S50" s="42">
        <f>'FY 2009 Exp 01-15-10'!C3</f>
        <v>1209220</v>
      </c>
      <c r="T50" s="42">
        <f>SUM('FY 2009 Exp 01-15-10'!F3:K3)</f>
        <v>1791530.07</v>
      </c>
      <c r="U50" s="41">
        <f t="shared" ref="U50:U62" si="18">T50/S50</f>
        <v>1.4815584178230596</v>
      </c>
      <c r="V50" s="42">
        <f>'FY 2009 Exp 01-15-10'!D3</f>
        <v>1275791</v>
      </c>
      <c r="W50" s="41">
        <f t="shared" ref="W50:W62" si="19">T50/V50</f>
        <v>1.4042504375716713</v>
      </c>
      <c r="X50" s="42">
        <f t="shared" ref="X50:X61" si="20">S50-T50</f>
        <v>-582310.07000000007</v>
      </c>
      <c r="Y50" s="42">
        <f>'FY 2008 Exp 01-15-10'!C3</f>
        <v>1199159</v>
      </c>
      <c r="Z50" s="42">
        <f>SUM('FY 2008 Exp 01-15-10'!F3:K3)</f>
        <v>1219724.54</v>
      </c>
      <c r="AA50" s="41">
        <f t="shared" ref="AA50:AA62" si="21">Z50/Y50</f>
        <v>1.0171499692701302</v>
      </c>
      <c r="AB50" s="42">
        <f>'FY 2008 Exp 01-15-10'!D3</f>
        <v>1238216</v>
      </c>
      <c r="AC50" s="41">
        <f t="shared" ref="AC50:AC62" si="22">Z50/AB50</f>
        <v>0.98506604663483599</v>
      </c>
      <c r="AD50" s="13">
        <f t="shared" ref="AD50:AD61" si="23">Y50-Z50</f>
        <v>-20565.540000000037</v>
      </c>
    </row>
    <row r="51" spans="1:30" ht="15.75" customHeight="1">
      <c r="A51" s="135" t="s">
        <v>131</v>
      </c>
      <c r="B51" s="136"/>
      <c r="C51" s="88">
        <f t="shared" si="13"/>
        <v>43487800</v>
      </c>
      <c r="D51" s="90">
        <f t="shared" si="13"/>
        <v>37462677</v>
      </c>
      <c r="E51" s="12">
        <f t="shared" si="10"/>
        <v>0.86145256830651351</v>
      </c>
      <c r="F51" s="22">
        <f t="shared" si="14"/>
        <v>-15718777</v>
      </c>
      <c r="G51" s="23">
        <f t="shared" si="15"/>
        <v>21743900</v>
      </c>
      <c r="H51" s="24">
        <f t="shared" ref="H51:H61" si="24">IF(C51&gt;D51,C51-D51,0)</f>
        <v>6025123</v>
      </c>
      <c r="I51" s="1">
        <v>0.5</v>
      </c>
      <c r="J51" s="35" t="s">
        <v>131</v>
      </c>
      <c r="K51" s="83">
        <v>43487800</v>
      </c>
      <c r="L51" s="86">
        <v>37462677</v>
      </c>
      <c r="M51" s="41">
        <f t="shared" si="11"/>
        <v>0.86145256830651351</v>
      </c>
      <c r="N51" s="42">
        <f t="shared" si="16"/>
        <v>6025123</v>
      </c>
      <c r="O51" s="42">
        <v>43665123</v>
      </c>
      <c r="P51" s="42">
        <v>35053226.109999999</v>
      </c>
      <c r="Q51" s="41">
        <f t="shared" si="12"/>
        <v>0.80277401508751045</v>
      </c>
      <c r="R51" s="42">
        <f t="shared" si="17"/>
        <v>8611896.8900000006</v>
      </c>
      <c r="S51" s="42">
        <f>'FY 2009 Exp 01-15-10'!C4</f>
        <v>42789548</v>
      </c>
      <c r="T51" s="42">
        <f>SUM('FY 2009 Exp 01-15-10'!F4:K4)</f>
        <v>34011444.530000001</v>
      </c>
      <c r="U51" s="41">
        <f t="shared" si="18"/>
        <v>0.79485402673568795</v>
      </c>
      <c r="V51" s="42">
        <f>'FY 2009 Exp 01-15-10'!D4</f>
        <v>47916306</v>
      </c>
      <c r="W51" s="41">
        <f t="shared" si="19"/>
        <v>0.70980940246103286</v>
      </c>
      <c r="X51" s="42">
        <f t="shared" si="20"/>
        <v>8778103.4699999988</v>
      </c>
      <c r="Y51" s="42">
        <f>'FY 2008 Exp 01-15-10'!C4</f>
        <v>39688692</v>
      </c>
      <c r="Z51" s="42">
        <f>SUM('FY 2008 Exp 01-15-10'!F4:K4)</f>
        <v>31604478.079999998</v>
      </c>
      <c r="AA51" s="41">
        <f t="shared" si="21"/>
        <v>0.79630938908241167</v>
      </c>
      <c r="AB51" s="42">
        <f>'FY 2008 Exp 01-15-10'!D4</f>
        <v>50299627</v>
      </c>
      <c r="AC51" s="41">
        <f t="shared" si="22"/>
        <v>0.6283243030808161</v>
      </c>
      <c r="AD51" s="13">
        <f t="shared" si="23"/>
        <v>8084213.9200000018</v>
      </c>
    </row>
    <row r="52" spans="1:30" ht="15.75" customHeight="1">
      <c r="A52" s="135" t="s">
        <v>30</v>
      </c>
      <c r="B52" s="136"/>
      <c r="C52" s="88">
        <f t="shared" si="13"/>
        <v>2892101</v>
      </c>
      <c r="D52" s="90">
        <f t="shared" si="13"/>
        <v>991365</v>
      </c>
      <c r="E52" s="12">
        <f t="shared" si="10"/>
        <v>0.34278367180122687</v>
      </c>
      <c r="F52" s="22">
        <f t="shared" si="14"/>
        <v>454685.5</v>
      </c>
      <c r="G52" s="23">
        <f t="shared" si="15"/>
        <v>1446050.5</v>
      </c>
      <c r="H52" s="24">
        <f t="shared" si="24"/>
        <v>1900736</v>
      </c>
      <c r="I52" s="1">
        <v>0.5</v>
      </c>
      <c r="J52" s="35" t="s">
        <v>30</v>
      </c>
      <c r="K52" s="83">
        <v>2892101</v>
      </c>
      <c r="L52" s="86">
        <v>991365</v>
      </c>
      <c r="M52" s="41">
        <f t="shared" si="11"/>
        <v>0.34278367180122687</v>
      </c>
      <c r="N52" s="42">
        <f t="shared" si="16"/>
        <v>1900736</v>
      </c>
      <c r="O52" s="42">
        <v>3263326</v>
      </c>
      <c r="P52" s="42">
        <v>1757717.35</v>
      </c>
      <c r="Q52" s="41">
        <f t="shared" si="12"/>
        <v>0.53862756892814267</v>
      </c>
      <c r="R52" s="42">
        <f t="shared" si="17"/>
        <v>1505608.65</v>
      </c>
      <c r="S52" s="42">
        <f>'FY 2009 Exp 01-15-10'!C5</f>
        <v>3360551</v>
      </c>
      <c r="T52" s="42">
        <f>SUM('FY 2009 Exp 01-15-10'!F5:K5)</f>
        <v>1544489.4300000002</v>
      </c>
      <c r="U52" s="41">
        <f t="shared" si="18"/>
        <v>0.45959410525238276</v>
      </c>
      <c r="V52" s="42">
        <f>'FY 2009 Exp 01-15-10'!D5</f>
        <v>3318332</v>
      </c>
      <c r="W52" s="41">
        <f t="shared" si="19"/>
        <v>0.4654415019353097</v>
      </c>
      <c r="X52" s="42">
        <f t="shared" si="20"/>
        <v>1816061.5699999998</v>
      </c>
      <c r="Y52" s="42">
        <f>'FY 2008 Exp 01-15-10'!C5</f>
        <v>2433415</v>
      </c>
      <c r="Z52" s="42">
        <f>SUM('FY 2008 Exp 01-15-10'!F5:K5)</f>
        <v>1381115.9300000002</v>
      </c>
      <c r="AA52" s="41">
        <f t="shared" si="21"/>
        <v>0.56756284069918206</v>
      </c>
      <c r="AB52" s="42">
        <f>'FY 2008 Exp 01-15-10'!D5</f>
        <v>3139760</v>
      </c>
      <c r="AC52" s="41">
        <f t="shared" si="22"/>
        <v>0.43987945893953684</v>
      </c>
      <c r="AD52" s="13">
        <f t="shared" si="23"/>
        <v>1052299.0699999998</v>
      </c>
    </row>
    <row r="53" spans="1:30" ht="15.75" customHeight="1">
      <c r="A53" s="135" t="s">
        <v>15</v>
      </c>
      <c r="B53" s="136"/>
      <c r="C53" s="88">
        <f t="shared" si="13"/>
        <v>10586321</v>
      </c>
      <c r="D53" s="90">
        <f t="shared" si="13"/>
        <v>5265073</v>
      </c>
      <c r="E53" s="12">
        <f t="shared" si="10"/>
        <v>0.49734681198501351</v>
      </c>
      <c r="F53" s="22">
        <f t="shared" si="14"/>
        <v>28087.5</v>
      </c>
      <c r="G53" s="23">
        <f t="shared" si="15"/>
        <v>5293160.5</v>
      </c>
      <c r="H53" s="24">
        <f t="shared" si="24"/>
        <v>5321248</v>
      </c>
      <c r="I53" s="1">
        <v>0.5</v>
      </c>
      <c r="J53" s="35" t="s">
        <v>15</v>
      </c>
      <c r="K53" s="83">
        <v>10586321</v>
      </c>
      <c r="L53" s="86">
        <v>5265073</v>
      </c>
      <c r="M53" s="41">
        <f t="shared" si="11"/>
        <v>0.49734681198501351</v>
      </c>
      <c r="N53" s="42">
        <f t="shared" si="16"/>
        <v>5321248</v>
      </c>
      <c r="O53" s="42">
        <v>10604579</v>
      </c>
      <c r="P53" s="42">
        <v>5580579.9500000002</v>
      </c>
      <c r="Q53" s="41">
        <f t="shared" si="12"/>
        <v>0.52624247978161132</v>
      </c>
      <c r="R53" s="42">
        <f t="shared" si="17"/>
        <v>5023999.05</v>
      </c>
      <c r="S53" s="42">
        <f>'FY 2009 Exp 01-15-10'!C6</f>
        <v>10906229</v>
      </c>
      <c r="T53" s="42">
        <f>SUM('FY 2009 Exp 01-15-10'!F6:K6)</f>
        <v>5148824.4700000007</v>
      </c>
      <c r="U53" s="41">
        <f t="shared" si="18"/>
        <v>0.47209942776737962</v>
      </c>
      <c r="V53" s="42">
        <f>'FY 2009 Exp 01-15-10'!D6</f>
        <v>11732575</v>
      </c>
      <c r="W53" s="41">
        <f t="shared" si="19"/>
        <v>0.43884863041574423</v>
      </c>
      <c r="X53" s="42">
        <f t="shared" si="20"/>
        <v>5757404.5299999993</v>
      </c>
      <c r="Y53" s="42">
        <f>'FY 2008 Exp 01-15-10'!C6</f>
        <v>9925189</v>
      </c>
      <c r="Z53" s="42">
        <f>SUM('FY 2008 Exp 01-15-10'!F6:K6)</f>
        <v>5101042.6500000004</v>
      </c>
      <c r="AA53" s="41">
        <f t="shared" si="21"/>
        <v>0.51394917013670982</v>
      </c>
      <c r="AB53" s="42">
        <f>'FY 2008 Exp 01-15-10'!D6</f>
        <v>10236244</v>
      </c>
      <c r="AC53" s="41">
        <f t="shared" si="22"/>
        <v>0.49833148271963823</v>
      </c>
      <c r="AD53" s="13">
        <f t="shared" si="23"/>
        <v>4824146.3499999996</v>
      </c>
    </row>
    <row r="54" spans="1:30" ht="15.75" customHeight="1">
      <c r="A54" s="135" t="s">
        <v>14</v>
      </c>
      <c r="B54" s="136"/>
      <c r="C54" s="88">
        <f t="shared" si="13"/>
        <v>41179358</v>
      </c>
      <c r="D54" s="90">
        <f t="shared" si="13"/>
        <v>17901019</v>
      </c>
      <c r="E54" s="12">
        <f t="shared" si="10"/>
        <v>0.43470854985160284</v>
      </c>
      <c r="F54" s="22">
        <f t="shared" si="14"/>
        <v>2688660</v>
      </c>
      <c r="G54" s="23">
        <f t="shared" si="15"/>
        <v>20589679</v>
      </c>
      <c r="H54" s="24">
        <f t="shared" si="24"/>
        <v>23278339</v>
      </c>
      <c r="I54" s="1">
        <v>0.5</v>
      </c>
      <c r="J54" s="35" t="s">
        <v>14</v>
      </c>
      <c r="K54" s="83">
        <v>41179358</v>
      </c>
      <c r="L54" s="86">
        <v>17901019</v>
      </c>
      <c r="M54" s="41">
        <f t="shared" si="11"/>
        <v>0.43470854985160284</v>
      </c>
      <c r="N54" s="42">
        <f t="shared" si="16"/>
        <v>23278339</v>
      </c>
      <c r="O54" s="42">
        <v>40714461</v>
      </c>
      <c r="P54" s="42">
        <v>17620089.010000002</v>
      </c>
      <c r="Q54" s="41">
        <f t="shared" si="12"/>
        <v>0.43277225283665188</v>
      </c>
      <c r="R54" s="42">
        <f t="shared" si="17"/>
        <v>23094371.989999998</v>
      </c>
      <c r="S54" s="42">
        <f>'FY 2009 Exp 01-15-10'!C7</f>
        <v>39128938</v>
      </c>
      <c r="T54" s="42">
        <f>SUM('FY 2009 Exp 01-15-10'!F7:K7)</f>
        <v>15298771.359999999</v>
      </c>
      <c r="U54" s="41">
        <f t="shared" si="18"/>
        <v>0.39098355697770276</v>
      </c>
      <c r="V54" s="42">
        <f>'FY 2009 Exp 01-15-10'!D7</f>
        <v>41658952</v>
      </c>
      <c r="W54" s="41">
        <f t="shared" si="19"/>
        <v>0.36723850758415622</v>
      </c>
      <c r="X54" s="42">
        <f t="shared" si="20"/>
        <v>23830166.640000001</v>
      </c>
      <c r="Y54" s="42">
        <f>'FY 2008 Exp 01-15-10'!C7</f>
        <v>37639150</v>
      </c>
      <c r="Z54" s="42">
        <f>SUM('FY 2008 Exp 01-15-10'!F7:K7)</f>
        <v>11355359.810000001</v>
      </c>
      <c r="AA54" s="41">
        <f t="shared" si="21"/>
        <v>0.30169012344859009</v>
      </c>
      <c r="AB54" s="42">
        <f>'FY 2008 Exp 01-15-10'!D7</f>
        <v>36096874</v>
      </c>
      <c r="AC54" s="41">
        <f t="shared" si="22"/>
        <v>0.31458014369886989</v>
      </c>
      <c r="AD54" s="13">
        <f t="shared" si="23"/>
        <v>26283790.189999998</v>
      </c>
    </row>
    <row r="55" spans="1:30" ht="15.75" customHeight="1">
      <c r="A55" s="135" t="s">
        <v>117</v>
      </c>
      <c r="B55" s="136"/>
      <c r="C55" s="88">
        <f t="shared" si="13"/>
        <v>19492602</v>
      </c>
      <c r="D55" s="90">
        <f t="shared" si="13"/>
        <v>8658087</v>
      </c>
      <c r="E55" s="12">
        <f t="shared" si="10"/>
        <v>0.4441729739313407</v>
      </c>
      <c r="F55" s="22">
        <f t="shared" si="14"/>
        <v>1088214</v>
      </c>
      <c r="G55" s="23">
        <f t="shared" si="15"/>
        <v>9746301</v>
      </c>
      <c r="H55" s="24">
        <f t="shared" si="24"/>
        <v>10834515</v>
      </c>
      <c r="I55" s="1">
        <v>0.5</v>
      </c>
      <c r="J55" s="35" t="s">
        <v>117</v>
      </c>
      <c r="K55" s="83">
        <v>19492602</v>
      </c>
      <c r="L55" s="86">
        <v>8658087</v>
      </c>
      <c r="M55" s="41">
        <f t="shared" si="11"/>
        <v>0.4441729739313407</v>
      </c>
      <c r="N55" s="42">
        <f t="shared" si="16"/>
        <v>10834515</v>
      </c>
      <c r="O55" s="42">
        <v>17404071</v>
      </c>
      <c r="P55" s="42">
        <v>9665369.1099999994</v>
      </c>
      <c r="Q55" s="41">
        <f t="shared" si="12"/>
        <v>0.55535105033759047</v>
      </c>
      <c r="R55" s="42">
        <f t="shared" si="17"/>
        <v>7738701.8900000006</v>
      </c>
      <c r="S55" s="42">
        <f>'FY 2009 Exp 01-15-10'!C8</f>
        <v>17368061</v>
      </c>
      <c r="T55" s="42">
        <f>SUM('FY 2009 Exp 01-15-10'!F8:K8)</f>
        <v>8576793.1199999992</v>
      </c>
      <c r="U55" s="41">
        <f t="shared" si="18"/>
        <v>0.49382559860884867</v>
      </c>
      <c r="V55" s="42">
        <f>'FY 2009 Exp 01-15-10'!D8</f>
        <v>17937753</v>
      </c>
      <c r="W55" s="41">
        <f t="shared" si="19"/>
        <v>0.47814200139783392</v>
      </c>
      <c r="X55" s="42">
        <f t="shared" si="20"/>
        <v>8791267.8800000008</v>
      </c>
      <c r="Y55" s="42">
        <f>'FY 2008 Exp 01-15-10'!C8</f>
        <v>17183257</v>
      </c>
      <c r="Z55" s="42">
        <f>SUM('FY 2008 Exp 01-15-10'!F8:K8)</f>
        <v>7080681.1200000001</v>
      </c>
      <c r="AA55" s="41">
        <f t="shared" si="21"/>
        <v>0.41206862703618996</v>
      </c>
      <c r="AB55" s="42">
        <f>'FY 2008 Exp 01-15-10'!D8</f>
        <v>15836617</v>
      </c>
      <c r="AC55" s="41">
        <f t="shared" si="22"/>
        <v>0.44710818731045904</v>
      </c>
      <c r="AD55" s="13">
        <f t="shared" si="23"/>
        <v>10102575.879999999</v>
      </c>
    </row>
    <row r="56" spans="1:30" ht="15.75" customHeight="1">
      <c r="A56" s="135" t="s">
        <v>31</v>
      </c>
      <c r="B56" s="136"/>
      <c r="C56" s="88">
        <f t="shared" si="13"/>
        <v>17117766</v>
      </c>
      <c r="D56" s="90">
        <f t="shared" si="13"/>
        <v>8347951</v>
      </c>
      <c r="E56" s="12">
        <f t="shared" si="10"/>
        <v>0.48767759764913249</v>
      </c>
      <c r="F56" s="22">
        <f t="shared" si="14"/>
        <v>210932</v>
      </c>
      <c r="G56" s="23">
        <f t="shared" si="15"/>
        <v>8558883</v>
      </c>
      <c r="H56" s="24">
        <f t="shared" si="24"/>
        <v>8769815</v>
      </c>
      <c r="I56" s="1">
        <v>0.5</v>
      </c>
      <c r="J56" s="35" t="s">
        <v>31</v>
      </c>
      <c r="K56" s="83">
        <v>17117766</v>
      </c>
      <c r="L56" s="86">
        <v>8347951</v>
      </c>
      <c r="M56" s="41">
        <f t="shared" si="11"/>
        <v>0.48767759764913249</v>
      </c>
      <c r="N56" s="42">
        <f t="shared" si="16"/>
        <v>8769815</v>
      </c>
      <c r="O56" s="42">
        <v>17413314</v>
      </c>
      <c r="P56" s="42">
        <v>8874392.9399999995</v>
      </c>
      <c r="Q56" s="41">
        <f t="shared" si="12"/>
        <v>0.50963262593208847</v>
      </c>
      <c r="R56" s="42">
        <f t="shared" si="17"/>
        <v>8538921.0600000005</v>
      </c>
      <c r="S56" s="42">
        <f>'FY 2009 Exp 01-15-10'!C9</f>
        <v>17278014</v>
      </c>
      <c r="T56" s="42">
        <f>SUM('FY 2009 Exp 01-15-10'!F9:K9)</f>
        <v>8310298.7700000005</v>
      </c>
      <c r="U56" s="41">
        <f t="shared" si="18"/>
        <v>0.48097534647211193</v>
      </c>
      <c r="V56" s="42">
        <f>'FY 2009 Exp 01-15-10'!D9</f>
        <v>17898937</v>
      </c>
      <c r="W56" s="41">
        <f t="shared" si="19"/>
        <v>0.46429007320378862</v>
      </c>
      <c r="X56" s="42">
        <f t="shared" si="20"/>
        <v>8967715.2300000004</v>
      </c>
      <c r="Y56" s="42">
        <f>'FY 2008 Exp 01-15-10'!C9</f>
        <v>16892588</v>
      </c>
      <c r="Z56" s="42">
        <f>SUM('FY 2008 Exp 01-15-10'!F9:K9)</f>
        <v>7887350.6899999995</v>
      </c>
      <c r="AA56" s="41">
        <f t="shared" si="21"/>
        <v>0.46691191959455824</v>
      </c>
      <c r="AB56" s="42">
        <f>'FY 2008 Exp 01-15-10'!D9</f>
        <v>17511804</v>
      </c>
      <c r="AC56" s="41">
        <f t="shared" si="22"/>
        <v>0.45040195116391202</v>
      </c>
      <c r="AD56" s="13">
        <f t="shared" si="23"/>
        <v>9005237.3100000005</v>
      </c>
    </row>
    <row r="57" spans="1:30" ht="15.75" customHeight="1">
      <c r="A57" s="135" t="s">
        <v>32</v>
      </c>
      <c r="B57" s="136"/>
      <c r="C57" s="88">
        <f t="shared" si="13"/>
        <v>10895570</v>
      </c>
      <c r="D57" s="90">
        <f t="shared" si="13"/>
        <v>5491960</v>
      </c>
      <c r="E57" s="12">
        <f t="shared" si="10"/>
        <v>0.50405440009104618</v>
      </c>
      <c r="F57" s="22">
        <f t="shared" si="14"/>
        <v>-44175</v>
      </c>
      <c r="G57" s="23">
        <f t="shared" si="15"/>
        <v>5447785</v>
      </c>
      <c r="H57" s="24">
        <f t="shared" si="24"/>
        <v>5403610</v>
      </c>
      <c r="I57" s="1">
        <v>0.5</v>
      </c>
      <c r="J57" s="35" t="s">
        <v>32</v>
      </c>
      <c r="K57" s="83">
        <v>10895570</v>
      </c>
      <c r="L57" s="86">
        <v>5491960</v>
      </c>
      <c r="M57" s="41">
        <f t="shared" si="11"/>
        <v>0.50405440009104618</v>
      </c>
      <c r="N57" s="42">
        <f t="shared" si="16"/>
        <v>5403610</v>
      </c>
      <c r="O57" s="42">
        <v>10775827</v>
      </c>
      <c r="P57" s="42">
        <v>5789049.0099999998</v>
      </c>
      <c r="Q57" s="41">
        <f t="shared" si="12"/>
        <v>0.53722549647465567</v>
      </c>
      <c r="R57" s="42">
        <f t="shared" si="17"/>
        <v>4986777.99</v>
      </c>
      <c r="S57" s="42">
        <f>'FY 2009 Exp 01-15-10'!C10</f>
        <v>10462445</v>
      </c>
      <c r="T57" s="42">
        <f>SUM('FY 2009 Exp 01-15-10'!F10:K10)</f>
        <v>5235693.53</v>
      </c>
      <c r="U57" s="41">
        <f t="shared" si="18"/>
        <v>0.50042734083667828</v>
      </c>
      <c r="V57" s="42">
        <f>'FY 2009 Exp 01-15-10'!D10</f>
        <v>10559987</v>
      </c>
      <c r="W57" s="41">
        <f t="shared" si="19"/>
        <v>0.49580492191893799</v>
      </c>
      <c r="X57" s="42">
        <f t="shared" si="20"/>
        <v>5226751.47</v>
      </c>
      <c r="Y57" s="42">
        <f>'FY 2008 Exp 01-15-10'!C10</f>
        <v>10123030</v>
      </c>
      <c r="Z57" s="42">
        <f>SUM('FY 2008 Exp 01-15-10'!F10:K10)</f>
        <v>5045943.1099999994</v>
      </c>
      <c r="AA57" s="41">
        <f t="shared" si="21"/>
        <v>0.49846173625880785</v>
      </c>
      <c r="AB57" s="42">
        <f>'FY 2008 Exp 01-15-10'!D10</f>
        <v>10223818</v>
      </c>
      <c r="AC57" s="41">
        <f t="shared" si="22"/>
        <v>0.49354782234973271</v>
      </c>
      <c r="AD57" s="13">
        <f t="shared" si="23"/>
        <v>5077086.8900000006</v>
      </c>
    </row>
    <row r="58" spans="1:30" ht="15.75" customHeight="1">
      <c r="A58" s="135" t="s">
        <v>33</v>
      </c>
      <c r="B58" s="136"/>
      <c r="C58" s="88">
        <f t="shared" si="13"/>
        <v>11591817</v>
      </c>
      <c r="D58" s="90">
        <f t="shared" si="13"/>
        <v>16536076</v>
      </c>
      <c r="E58" s="12">
        <f t="shared" si="10"/>
        <v>1.4265301117158768</v>
      </c>
      <c r="F58" s="22">
        <f t="shared" si="14"/>
        <v>-10740167.5</v>
      </c>
      <c r="G58" s="23">
        <f t="shared" si="15"/>
        <v>5795908.5</v>
      </c>
      <c r="H58" s="24">
        <f t="shared" si="24"/>
        <v>0</v>
      </c>
      <c r="I58" s="1">
        <v>0.5</v>
      </c>
      <c r="J58" s="35" t="s">
        <v>33</v>
      </c>
      <c r="K58" s="83">
        <v>11591817</v>
      </c>
      <c r="L58" s="86">
        <v>16536076</v>
      </c>
      <c r="M58" s="41">
        <f t="shared" si="11"/>
        <v>1.4265301117158768</v>
      </c>
      <c r="N58" s="42">
        <f t="shared" si="16"/>
        <v>-4944259</v>
      </c>
      <c r="O58" s="42">
        <v>13414559</v>
      </c>
      <c r="P58" s="42">
        <v>7489826.7000000002</v>
      </c>
      <c r="Q58" s="41">
        <f t="shared" si="12"/>
        <v>0.5583356635130533</v>
      </c>
      <c r="R58" s="42">
        <f t="shared" si="17"/>
        <v>5924732.2999999998</v>
      </c>
      <c r="S58" s="42">
        <f>'FY 2009 Exp 01-15-10'!C11</f>
        <v>13483773</v>
      </c>
      <c r="T58" s="42">
        <f>SUM('FY 2009 Exp 01-15-10'!F11:K11)</f>
        <v>11711630.540000001</v>
      </c>
      <c r="U58" s="41">
        <f t="shared" si="18"/>
        <v>0.86857221194690837</v>
      </c>
      <c r="V58" s="42">
        <f>'FY 2009 Exp 01-15-10'!D11</f>
        <v>25988724</v>
      </c>
      <c r="W58" s="41">
        <f t="shared" si="19"/>
        <v>0.45064276876386855</v>
      </c>
      <c r="X58" s="42">
        <f t="shared" si="20"/>
        <v>1772142.459999999</v>
      </c>
      <c r="Y58" s="42">
        <f>'FY 2008 Exp 01-15-10'!C11</f>
        <v>13190056</v>
      </c>
      <c r="Z58" s="42">
        <f>SUM('FY 2008 Exp 01-15-10'!F11:K11)</f>
        <v>10805359.48</v>
      </c>
      <c r="AA58" s="41">
        <f t="shared" si="21"/>
        <v>0.81920497380754109</v>
      </c>
      <c r="AB58" s="42">
        <f>'FY 2008 Exp 01-15-10'!D11</f>
        <v>40957636</v>
      </c>
      <c r="AC58" s="41">
        <f t="shared" si="22"/>
        <v>0.26381794789132851</v>
      </c>
      <c r="AD58" s="13">
        <f t="shared" si="23"/>
        <v>2384696.5199999996</v>
      </c>
    </row>
    <row r="59" spans="1:30" ht="15.75" customHeight="1">
      <c r="A59" s="135" t="s">
        <v>34</v>
      </c>
      <c r="B59" s="136"/>
      <c r="C59" s="88">
        <f t="shared" si="13"/>
        <v>65349602</v>
      </c>
      <c r="D59" s="90">
        <f t="shared" si="13"/>
        <v>33346743</v>
      </c>
      <c r="E59" s="12">
        <f t="shared" si="10"/>
        <v>0.51028226614142191</v>
      </c>
      <c r="F59" s="22">
        <f t="shared" si="14"/>
        <v>-671942</v>
      </c>
      <c r="G59" s="23">
        <f t="shared" si="15"/>
        <v>32674801</v>
      </c>
      <c r="H59" s="24">
        <f t="shared" si="24"/>
        <v>32002859</v>
      </c>
      <c r="I59" s="1">
        <v>0.5</v>
      </c>
      <c r="J59" s="35" t="s">
        <v>34</v>
      </c>
      <c r="K59" s="83">
        <v>65349602</v>
      </c>
      <c r="L59" s="86">
        <v>33346743</v>
      </c>
      <c r="M59" s="41">
        <f t="shared" si="11"/>
        <v>0.51028226614142191</v>
      </c>
      <c r="N59" s="42">
        <f t="shared" si="16"/>
        <v>32002859</v>
      </c>
      <c r="O59" s="42">
        <v>65544767</v>
      </c>
      <c r="P59" s="42">
        <v>35211365.259999998</v>
      </c>
      <c r="Q59" s="41">
        <f t="shared" si="12"/>
        <v>0.53721093035543166</v>
      </c>
      <c r="R59" s="42">
        <f t="shared" si="17"/>
        <v>30333401.740000002</v>
      </c>
      <c r="S59" s="42">
        <f>'FY 2009 Exp 01-15-10'!C12</f>
        <v>65608655</v>
      </c>
      <c r="T59" s="42">
        <f>SUM('FY 2009 Exp 01-15-10'!F12:K12)</f>
        <v>32566145.509999998</v>
      </c>
      <c r="U59" s="41">
        <f t="shared" si="18"/>
        <v>0.49636965595469068</v>
      </c>
      <c r="V59" s="42">
        <f>'FY 2009 Exp 01-15-10'!D12</f>
        <v>58058647</v>
      </c>
      <c r="W59" s="41">
        <f t="shared" si="19"/>
        <v>0.56091809218358113</v>
      </c>
      <c r="X59" s="42">
        <f t="shared" si="20"/>
        <v>33042509.490000002</v>
      </c>
      <c r="Y59" s="42">
        <f>'FY 2008 Exp 01-15-10'!C12</f>
        <v>64075535</v>
      </c>
      <c r="Z59" s="42">
        <f>SUM('FY 2008 Exp 01-15-10'!F12:K12)</f>
        <v>32507374.360000003</v>
      </c>
      <c r="AA59" s="41">
        <f t="shared" si="21"/>
        <v>0.50732895730016148</v>
      </c>
      <c r="AB59" s="42">
        <f>'FY 2008 Exp 01-15-10'!D12</f>
        <v>57996969</v>
      </c>
      <c r="AC59" s="41">
        <f t="shared" si="22"/>
        <v>0.56050126274702394</v>
      </c>
      <c r="AD59" s="13">
        <f t="shared" si="23"/>
        <v>31568160.639999997</v>
      </c>
    </row>
    <row r="60" spans="1:30" ht="15.75" customHeight="1">
      <c r="A60" s="135" t="s">
        <v>132</v>
      </c>
      <c r="B60" s="136"/>
      <c r="C60" s="88">
        <f t="shared" si="13"/>
        <v>19688923</v>
      </c>
      <c r="D60" s="90">
        <f t="shared" si="13"/>
        <v>29414617</v>
      </c>
      <c r="E60" s="12">
        <f t="shared" si="10"/>
        <v>1.4939678010828727</v>
      </c>
      <c r="F60" s="22">
        <f t="shared" si="14"/>
        <v>-19570155.5</v>
      </c>
      <c r="G60" s="23">
        <f t="shared" si="15"/>
        <v>9844461.5</v>
      </c>
      <c r="H60" s="24">
        <f t="shared" si="24"/>
        <v>0</v>
      </c>
      <c r="I60" s="1">
        <v>0.5</v>
      </c>
      <c r="J60" s="35" t="s">
        <v>132</v>
      </c>
      <c r="K60" s="83">
        <v>19688923</v>
      </c>
      <c r="L60" s="86">
        <v>29414617</v>
      </c>
      <c r="M60" s="41">
        <f t="shared" si="11"/>
        <v>1.4939678010828727</v>
      </c>
      <c r="N60" s="42">
        <f t="shared" si="16"/>
        <v>-9725694</v>
      </c>
      <c r="O60" s="42">
        <v>19347332</v>
      </c>
      <c r="P60" s="42">
        <v>33195586.399999999</v>
      </c>
      <c r="Q60" s="41">
        <f t="shared" si="12"/>
        <v>1.7157707533007651</v>
      </c>
      <c r="R60" s="42">
        <f t="shared" si="17"/>
        <v>-13848254.399999999</v>
      </c>
      <c r="S60" s="42">
        <f>'FY 2009 Exp 01-15-10'!C13</f>
        <v>19861346</v>
      </c>
      <c r="T60" s="42">
        <f>SUM('FY 2009 Exp 01-15-10'!F13:K13)</f>
        <v>23470164.149999999</v>
      </c>
      <c r="U60" s="41">
        <f t="shared" si="18"/>
        <v>1.1817005831326839</v>
      </c>
      <c r="V60" s="42">
        <f>'FY 2009 Exp 01-15-10'!D13</f>
        <v>38533167</v>
      </c>
      <c r="W60" s="41">
        <f t="shared" si="19"/>
        <v>0.60908993413388524</v>
      </c>
      <c r="X60" s="42">
        <f t="shared" si="20"/>
        <v>-3608818.1499999985</v>
      </c>
      <c r="Y60" s="42">
        <f>'FY 2008 Exp 01-15-10'!C13</f>
        <v>17022879</v>
      </c>
      <c r="Z60" s="42">
        <f>SUM('FY 2008 Exp 01-15-10'!F13:K13)</f>
        <v>25684205.489999998</v>
      </c>
      <c r="AA60" s="41">
        <f t="shared" si="21"/>
        <v>1.508805031745805</v>
      </c>
      <c r="AB60" s="42">
        <f>'FY 2008 Exp 01-15-10'!D13</f>
        <v>37697948</v>
      </c>
      <c r="AC60" s="41">
        <f t="shared" si="22"/>
        <v>0.68131574402935668</v>
      </c>
      <c r="AD60" s="13">
        <f t="shared" si="23"/>
        <v>-8661326.4899999984</v>
      </c>
    </row>
    <row r="61" spans="1:30" ht="15.75" customHeight="1" thickBot="1">
      <c r="A61" s="135" t="s">
        <v>35</v>
      </c>
      <c r="B61" s="136"/>
      <c r="C61" s="88">
        <f t="shared" si="13"/>
        <v>28150079</v>
      </c>
      <c r="D61" s="90">
        <f t="shared" si="13"/>
        <v>42044479</v>
      </c>
      <c r="E61" s="12">
        <f t="shared" si="10"/>
        <v>1.4935829842608968</v>
      </c>
      <c r="F61" s="22">
        <f t="shared" si="14"/>
        <v>-27969439.5</v>
      </c>
      <c r="G61" s="23">
        <f t="shared" si="15"/>
        <v>14075039.5</v>
      </c>
      <c r="H61" s="24">
        <f t="shared" si="24"/>
        <v>0</v>
      </c>
      <c r="I61" s="1">
        <v>0.5</v>
      </c>
      <c r="J61" s="35" t="s">
        <v>35</v>
      </c>
      <c r="K61" s="84">
        <v>28150079</v>
      </c>
      <c r="L61" s="87">
        <v>42044479</v>
      </c>
      <c r="M61" s="38">
        <f t="shared" si="11"/>
        <v>1.4935829842608968</v>
      </c>
      <c r="N61" s="44">
        <f t="shared" si="16"/>
        <v>-13894400</v>
      </c>
      <c r="O61" s="44">
        <v>26609348</v>
      </c>
      <c r="P61" s="44">
        <v>18116148.25</v>
      </c>
      <c r="Q61" s="38">
        <f t="shared" si="12"/>
        <v>0.68081894565774403</v>
      </c>
      <c r="R61" s="44">
        <f t="shared" si="17"/>
        <v>8493199.75</v>
      </c>
      <c r="S61" s="44">
        <f>'FY 2009 Exp 01-15-10'!C14</f>
        <v>27673796</v>
      </c>
      <c r="T61" s="44">
        <f>SUM('FY 2009 Exp 01-15-10'!F14:K14)</f>
        <v>18356153.68</v>
      </c>
      <c r="U61" s="38">
        <f t="shared" si="18"/>
        <v>0.66330450943556862</v>
      </c>
      <c r="V61" s="44">
        <f>'FY 2009 Exp 01-15-10'!D14</f>
        <v>70249042</v>
      </c>
      <c r="W61" s="38">
        <f t="shared" si="19"/>
        <v>0.26130112464736527</v>
      </c>
      <c r="X61" s="44">
        <f t="shared" si="20"/>
        <v>9317642.3200000003</v>
      </c>
      <c r="Y61" s="44">
        <f>'FY 2008 Exp 01-15-10'!C14</f>
        <v>25864446</v>
      </c>
      <c r="Z61" s="44">
        <f>SUM('FY 2008 Exp 01-15-10'!F14:K14)</f>
        <v>16402000.040000001</v>
      </c>
      <c r="AA61" s="38">
        <f t="shared" si="21"/>
        <v>0.634152381999599</v>
      </c>
      <c r="AB61" s="44">
        <f>'FY 2008 Exp 01-15-10'!D14</f>
        <v>40216702</v>
      </c>
      <c r="AC61" s="38">
        <f t="shared" si="22"/>
        <v>0.40784050467390393</v>
      </c>
      <c r="AD61" s="45">
        <f t="shared" si="23"/>
        <v>9462445.959999999</v>
      </c>
    </row>
    <row r="62" spans="1:30" ht="15.75" customHeight="1" thickBot="1">
      <c r="A62" s="139" t="s">
        <v>28</v>
      </c>
      <c r="B62" s="140"/>
      <c r="C62" s="20">
        <f>SUM(C49:C61)</f>
        <v>271926181</v>
      </c>
      <c r="D62" s="20">
        <f>SUM(D49:D61)</f>
        <v>207351100</v>
      </c>
      <c r="E62" s="12">
        <f t="shared" si="10"/>
        <v>0.76252716541479326</v>
      </c>
      <c r="F62" s="29">
        <f t="shared" si="14"/>
        <v>-71388009.5</v>
      </c>
      <c r="G62" s="23">
        <f t="shared" si="15"/>
        <v>135963090.5</v>
      </c>
      <c r="J62" s="30"/>
      <c r="K62" s="43">
        <f>SUM(K49:K61)</f>
        <v>271926181</v>
      </c>
      <c r="L62" s="43">
        <f>SUM(L49:L61)</f>
        <v>207351100</v>
      </c>
      <c r="M62" s="39">
        <f t="shared" si="11"/>
        <v>0.76252716541479326</v>
      </c>
      <c r="N62" s="43">
        <f>SUM(N49:N61)</f>
        <v>64575081</v>
      </c>
      <c r="O62" s="43">
        <f>SUM(O49:O61)</f>
        <v>270182156</v>
      </c>
      <c r="P62" s="43">
        <f>SUM(P49:P61)</f>
        <v>180025833.49000001</v>
      </c>
      <c r="Q62" s="39">
        <f t="shared" si="12"/>
        <v>0.66631281708330137</v>
      </c>
      <c r="R62" s="43">
        <f>SUM(R49:R61)</f>
        <v>90156322.50999999</v>
      </c>
      <c r="S62" s="43">
        <f t="shared" ref="S62:AD62" si="25">SUM(S49:S61)</f>
        <v>269482206</v>
      </c>
      <c r="T62" s="43">
        <f t="shared" si="25"/>
        <v>166184737.33000001</v>
      </c>
      <c r="U62" s="39">
        <f t="shared" si="18"/>
        <v>0.6166816718503485</v>
      </c>
      <c r="V62" s="43">
        <f t="shared" si="25"/>
        <v>345653526</v>
      </c>
      <c r="W62" s="39">
        <f t="shared" si="19"/>
        <v>0.48078415184458445</v>
      </c>
      <c r="X62" s="43">
        <f t="shared" si="25"/>
        <v>103297468.66999999</v>
      </c>
      <c r="Y62" s="43">
        <f t="shared" si="25"/>
        <v>255607673</v>
      </c>
      <c r="Z62" s="43">
        <f t="shared" si="25"/>
        <v>156234673.19999999</v>
      </c>
      <c r="AA62" s="39">
        <f t="shared" si="21"/>
        <v>0.61122841644898507</v>
      </c>
      <c r="AB62" s="43">
        <f t="shared" si="25"/>
        <v>322179771</v>
      </c>
      <c r="AC62" s="39">
        <f t="shared" si="22"/>
        <v>0.48493011437394057</v>
      </c>
      <c r="AD62" s="43">
        <f t="shared" si="25"/>
        <v>99372999.799999997</v>
      </c>
    </row>
    <row r="63" spans="1:30" ht="26.25" customHeight="1" thickTop="1">
      <c r="J63" s="79"/>
    </row>
    <row r="64" spans="1:30">
      <c r="J64" s="79"/>
    </row>
    <row r="65" spans="10:10">
      <c r="J65" s="79"/>
    </row>
    <row r="66" spans="10:10">
      <c r="J66" s="79"/>
    </row>
    <row r="67" spans="10:10">
      <c r="J67" s="79"/>
    </row>
    <row r="68" spans="10:10">
      <c r="J68" s="79"/>
    </row>
    <row r="69" spans="10:10">
      <c r="J69" s="79"/>
    </row>
    <row r="70" spans="10:10">
      <c r="J70" s="79"/>
    </row>
    <row r="71" spans="10:10">
      <c r="J71" s="79"/>
    </row>
    <row r="72" spans="10:10">
      <c r="J72" s="79"/>
    </row>
    <row r="73" spans="10:10">
      <c r="J73" s="79"/>
    </row>
    <row r="74" spans="10:10">
      <c r="J74" s="79"/>
    </row>
    <row r="75" spans="10:10">
      <c r="J75" s="79"/>
    </row>
    <row r="76" spans="10:10">
      <c r="J76" s="80"/>
    </row>
    <row r="77" spans="10:10">
      <c r="J77" s="81"/>
    </row>
    <row r="90" ht="54.75" customHeight="1"/>
    <row r="113" ht="3.75" customHeight="1"/>
  </sheetData>
  <mergeCells count="28">
    <mergeCell ref="B3:D3"/>
    <mergeCell ref="A13:F13"/>
    <mergeCell ref="A14:F1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46:F46"/>
    <mergeCell ref="A48:B48"/>
    <mergeCell ref="A49:B49"/>
    <mergeCell ref="A50:B50"/>
    <mergeCell ref="A51:B51"/>
    <mergeCell ref="A52:B52"/>
    <mergeCell ref="A59:B59"/>
    <mergeCell ref="A60:B60"/>
    <mergeCell ref="A61:B61"/>
    <mergeCell ref="A62:B62"/>
    <mergeCell ref="A53:B53"/>
    <mergeCell ref="A54:B54"/>
    <mergeCell ref="A55:B55"/>
    <mergeCell ref="A56:B56"/>
    <mergeCell ref="A57:B57"/>
    <mergeCell ref="A58:B58"/>
  </mergeCells>
  <pageMargins left="0.45" right="0.45" top="0.75" bottom="0.75" header="0.3" footer="0.3"/>
  <pageSetup scale="9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7"/>
  <sheetViews>
    <sheetView topLeftCell="A10" zoomScaleNormal="100" workbookViewId="0">
      <selection activeCell="L23" sqref="L23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7.125" style="2" bestFit="1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4" style="2" bestFit="1" customWidth="1"/>
    <col min="12" max="12" width="13.125" style="2" bestFit="1" customWidth="1"/>
    <col min="13" max="13" width="10.25" style="2" customWidth="1"/>
    <col min="14" max="14" width="11.5" style="2" customWidth="1"/>
    <col min="15" max="15" width="11.125" style="2" bestFit="1" customWidth="1"/>
    <col min="16" max="16" width="13.25" style="2" bestFit="1" customWidth="1"/>
    <col min="17" max="17" width="12.125" style="2" customWidth="1"/>
    <col min="18" max="18" width="12.5" style="2" bestFit="1" customWidth="1"/>
    <col min="19" max="19" width="13" style="2" customWidth="1"/>
    <col min="20" max="20" width="12.5" style="2" bestFit="1" customWidth="1"/>
    <col min="21" max="21" width="11.125" style="2" bestFit="1" customWidth="1"/>
    <col min="22" max="22" width="10.75" style="2" customWidth="1"/>
    <col min="23" max="23" width="12.625" style="2" customWidth="1"/>
    <col min="24" max="24" width="11.125" style="2" bestFit="1" customWidth="1"/>
    <col min="25" max="25" width="10.75" style="2" customWidth="1"/>
    <col min="26" max="26" width="12.5" style="2" bestFit="1" customWidth="1"/>
    <col min="27" max="16384" width="9" style="2"/>
  </cols>
  <sheetData>
    <row r="1" spans="1:24" ht="15.95" customHeight="1">
      <c r="E1" s="3"/>
      <c r="F1" s="3" t="s">
        <v>23</v>
      </c>
    </row>
    <row r="2" spans="1:24" ht="15.95" customHeight="1">
      <c r="E2" s="3"/>
      <c r="F2" s="3" t="s">
        <v>52</v>
      </c>
    </row>
    <row r="3" spans="1:24" ht="15.95" customHeight="1">
      <c r="B3" s="127" t="s">
        <v>41</v>
      </c>
      <c r="C3" s="127"/>
      <c r="D3" s="127"/>
      <c r="E3" s="3"/>
      <c r="F3" s="3" t="s">
        <v>53</v>
      </c>
    </row>
    <row r="4" spans="1:24" ht="15.95" customHeight="1">
      <c r="E4" s="3"/>
      <c r="F4" s="3" t="s">
        <v>54</v>
      </c>
    </row>
    <row r="5" spans="1:24" ht="15.95" customHeight="1">
      <c r="E5" s="3"/>
      <c r="F5" s="3" t="s">
        <v>24</v>
      </c>
    </row>
    <row r="6" spans="1:24" ht="15.75">
      <c r="A6" s="4"/>
      <c r="B6" s="4"/>
      <c r="C6" s="4"/>
      <c r="D6" s="5"/>
      <c r="E6" s="5"/>
      <c r="F6" s="4"/>
    </row>
    <row r="7" spans="1:24" ht="15.75">
      <c r="D7" s="3"/>
      <c r="E7" s="3"/>
    </row>
    <row r="8" spans="1:24" ht="19.5" customHeight="1">
      <c r="A8" s="6" t="s">
        <v>36</v>
      </c>
      <c r="B8" s="7" t="s">
        <v>37</v>
      </c>
    </row>
    <row r="9" spans="1:24" ht="19.5" customHeight="1">
      <c r="A9" s="6" t="s">
        <v>38</v>
      </c>
      <c r="B9" s="7" t="s">
        <v>93</v>
      </c>
    </row>
    <row r="10" spans="1:24" ht="19.5" customHeight="1">
      <c r="A10" s="6" t="s">
        <v>39</v>
      </c>
      <c r="B10" s="8">
        <v>40558</v>
      </c>
    </row>
    <row r="11" spans="1:24" ht="19.5" customHeight="1">
      <c r="A11" s="6" t="s">
        <v>40</v>
      </c>
      <c r="B11" s="7" t="s">
        <v>153</v>
      </c>
    </row>
    <row r="12" spans="1:24" ht="19.5" customHeight="1">
      <c r="A12" s="6"/>
      <c r="B12" s="7"/>
    </row>
    <row r="13" spans="1:24" ht="50.1" customHeight="1">
      <c r="A13" s="132"/>
      <c r="B13" s="132"/>
      <c r="C13" s="132"/>
      <c r="D13" s="132"/>
      <c r="E13" s="132"/>
      <c r="F13" s="132"/>
    </row>
    <row r="14" spans="1:24" ht="31.5" customHeight="1">
      <c r="A14" s="133" t="s">
        <v>127</v>
      </c>
      <c r="B14" s="133"/>
      <c r="C14" s="133"/>
      <c r="D14" s="133"/>
      <c r="E14" s="133"/>
      <c r="F14" s="133"/>
    </row>
    <row r="15" spans="1:24">
      <c r="K15" s="34"/>
      <c r="L15" s="34"/>
      <c r="M15" s="34"/>
      <c r="N15" s="34"/>
    </row>
    <row r="16" spans="1:24" ht="38.25">
      <c r="A16" s="134"/>
      <c r="B16" s="134"/>
      <c r="C16" s="9" t="s">
        <v>151</v>
      </c>
      <c r="D16" s="9" t="s">
        <v>154</v>
      </c>
      <c r="E16" s="9" t="s">
        <v>25</v>
      </c>
      <c r="F16" s="9" t="s">
        <v>13</v>
      </c>
      <c r="G16" s="10">
        <v>0.25</v>
      </c>
      <c r="H16" s="2" t="s">
        <v>42</v>
      </c>
      <c r="I16" s="10">
        <v>0.25</v>
      </c>
      <c r="K16" s="9" t="s">
        <v>151</v>
      </c>
      <c r="L16" s="9" t="s">
        <v>152</v>
      </c>
      <c r="M16" s="9">
        <v>2011</v>
      </c>
      <c r="N16" s="9" t="s">
        <v>94</v>
      </c>
      <c r="O16" s="9" t="s">
        <v>102</v>
      </c>
      <c r="P16" s="9">
        <v>2010</v>
      </c>
      <c r="Q16" s="9" t="s">
        <v>1</v>
      </c>
      <c r="R16" s="9" t="s">
        <v>103</v>
      </c>
      <c r="S16" s="9" t="s">
        <v>106</v>
      </c>
      <c r="T16" s="9">
        <v>2009</v>
      </c>
      <c r="U16" s="9" t="s">
        <v>104</v>
      </c>
      <c r="V16" s="9" t="s">
        <v>105</v>
      </c>
      <c r="W16" s="9" t="s">
        <v>107</v>
      </c>
      <c r="X16" s="9">
        <v>2008</v>
      </c>
    </row>
    <row r="17" spans="1:24" ht="15.75" customHeight="1">
      <c r="A17" s="131" t="s">
        <v>26</v>
      </c>
      <c r="B17" s="131"/>
      <c r="C17" s="11">
        <f>K17</f>
        <v>170749824</v>
      </c>
      <c r="D17" s="11">
        <f>L17</f>
        <v>96940992</v>
      </c>
      <c r="E17" s="12">
        <f t="shared" ref="E17:E24" si="0">(D17/C17)</f>
        <v>0.56773699514911358</v>
      </c>
      <c r="F17" s="29">
        <f t="shared" ref="F17:F23" si="1">D17-G17</f>
        <v>54253536</v>
      </c>
      <c r="G17" s="14">
        <f>C17*0.25</f>
        <v>42687456</v>
      </c>
      <c r="H17" s="15">
        <f t="shared" ref="H17:H22" si="2">C17-D17</f>
        <v>73808832</v>
      </c>
      <c r="I17" s="10">
        <v>0.25</v>
      </c>
      <c r="J17" s="21" t="str">
        <f>A17</f>
        <v>Current / Delinquent Taxes</v>
      </c>
      <c r="K17" s="82">
        <v>170749824</v>
      </c>
      <c r="L17" s="82">
        <v>96940992</v>
      </c>
      <c r="M17" s="41">
        <f t="shared" ref="M17:M24" si="3">(L17/K17)</f>
        <v>0.56773699514911358</v>
      </c>
      <c r="N17" s="11">
        <v>175939506</v>
      </c>
      <c r="O17" s="11">
        <v>94795716.219999999</v>
      </c>
      <c r="P17" s="12">
        <f t="shared" ref="P17:P24" si="4">(O17/N17)</f>
        <v>0.538797217152582</v>
      </c>
      <c r="Q17" s="11">
        <f>'FY 2009 Rev 01-15-10'!E3</f>
        <v>173590951</v>
      </c>
      <c r="R17" s="11">
        <f>SUM('FY 2009 Rev 01-15-10'!F3:H3)</f>
        <v>77611972.549999997</v>
      </c>
      <c r="S17" s="11">
        <f>'FY 2009 Rev 01-15-10'!D3</f>
        <v>174870775.59</v>
      </c>
      <c r="T17" s="12">
        <f t="shared" ref="T17:T24" si="5">R17/S17</f>
        <v>0.4438247173556783</v>
      </c>
      <c r="U17" s="11">
        <f>'FY 2008 Rev 01-15-10'!E3</f>
        <v>171068428</v>
      </c>
      <c r="V17" s="11">
        <f>SUM('FY 2008 Rev 01-15-10'!F3:H3)</f>
        <v>76794079.36999999</v>
      </c>
      <c r="W17" s="11">
        <f>'FY 2008 Rev 01-15-10'!D3</f>
        <v>171077825.91999999</v>
      </c>
      <c r="X17" s="12">
        <f t="shared" ref="X17:X24" si="6">V17/W17</f>
        <v>0.44888388636590876</v>
      </c>
    </row>
    <row r="18" spans="1:24" ht="15.75" customHeight="1">
      <c r="A18" s="131" t="s">
        <v>95</v>
      </c>
      <c r="B18" s="131"/>
      <c r="C18" s="16">
        <f>K18</f>
        <v>246000</v>
      </c>
      <c r="D18" s="16">
        <f>L18</f>
        <v>81524</v>
      </c>
      <c r="E18" s="12">
        <f>(D18/C18)</f>
        <v>0.33139837398373984</v>
      </c>
      <c r="F18" s="22">
        <f>D18-G18</f>
        <v>20024</v>
      </c>
      <c r="G18" s="14">
        <f>C18*0.25</f>
        <v>61500</v>
      </c>
      <c r="H18" s="15">
        <f t="shared" si="2"/>
        <v>164476</v>
      </c>
      <c r="I18" s="10">
        <v>0.25</v>
      </c>
      <c r="J18" s="21" t="str">
        <f t="shared" ref="J18:J23" si="7">A18</f>
        <v>License / Permits</v>
      </c>
      <c r="K18" s="83">
        <v>246000</v>
      </c>
      <c r="L18" s="83">
        <f>1500+80024</f>
        <v>81524</v>
      </c>
      <c r="M18" s="41">
        <f t="shared" si="3"/>
        <v>0.33139837398373984</v>
      </c>
      <c r="N18" s="16">
        <v>335854</v>
      </c>
      <c r="O18" s="28">
        <v>75982</v>
      </c>
      <c r="P18" s="12">
        <f t="shared" si="4"/>
        <v>0.2262352093469186</v>
      </c>
      <c r="Q18" s="28">
        <f>'FY 2009 Rev 01-15-10'!E6</f>
        <v>650650</v>
      </c>
      <c r="R18" s="28">
        <f>SUM('FY 2009 Rev 01-15-10'!F6:H6)</f>
        <v>81362.3</v>
      </c>
      <c r="S18" s="28">
        <f>'FY 2009 Rev 01-15-10'!D6</f>
        <v>283457.14</v>
      </c>
      <c r="T18" s="12">
        <f t="shared" si="5"/>
        <v>0.28703563438197394</v>
      </c>
      <c r="U18" s="28">
        <f>'FY 2008 Rev 01-15-10'!E6</f>
        <v>826700</v>
      </c>
      <c r="V18" s="28">
        <f>SUM('FY 2008 Rev 01-15-10'!F6:H6)</f>
        <v>150741</v>
      </c>
      <c r="W18" s="28">
        <f>'FY 2008 Rev 01-15-10'!D6</f>
        <v>653856.6</v>
      </c>
      <c r="X18" s="12">
        <f t="shared" si="6"/>
        <v>0.230541375586023</v>
      </c>
    </row>
    <row r="19" spans="1:24" ht="15.75" customHeight="1">
      <c r="A19" s="131" t="s">
        <v>51</v>
      </c>
      <c r="B19" s="131"/>
      <c r="C19" s="16">
        <f t="shared" ref="C19:D23" si="8">K19</f>
        <v>10310296</v>
      </c>
      <c r="D19" s="16">
        <f t="shared" si="8"/>
        <v>5341781</v>
      </c>
      <c r="E19" s="12">
        <f t="shared" si="0"/>
        <v>0.51810161415346367</v>
      </c>
      <c r="F19" s="22">
        <f t="shared" si="1"/>
        <v>2764207</v>
      </c>
      <c r="G19" s="27">
        <f t="shared" ref="G19:G24" si="9">C19*0.25</f>
        <v>2577574</v>
      </c>
      <c r="H19" s="27">
        <f t="shared" si="2"/>
        <v>4968515</v>
      </c>
      <c r="I19" s="10">
        <v>0.25</v>
      </c>
      <c r="J19" s="21" t="str">
        <f t="shared" si="7"/>
        <v>Intergovernmental Revenue</v>
      </c>
      <c r="K19" s="83">
        <v>10310296</v>
      </c>
      <c r="L19" s="83">
        <f>615688+1933269+2792824</f>
        <v>5341781</v>
      </c>
      <c r="M19" s="41">
        <f t="shared" si="3"/>
        <v>0.51810161415346367</v>
      </c>
      <c r="N19" s="16">
        <v>10763558</v>
      </c>
      <c r="O19" s="28">
        <v>2323691.9299999997</v>
      </c>
      <c r="P19" s="12">
        <f t="shared" si="4"/>
        <v>0.21588511252505907</v>
      </c>
      <c r="Q19" s="28">
        <f>'FY 2009 Rev 01-15-10'!E13</f>
        <v>9723482</v>
      </c>
      <c r="R19" s="28">
        <f>SUM('FY 2009 Rev 01-15-10'!F13:H13)</f>
        <v>5214766.1399999997</v>
      </c>
      <c r="S19" s="28">
        <f>'FY 2009 Rev 01-15-10'!D13</f>
        <v>18664970.830000002</v>
      </c>
      <c r="T19" s="12">
        <f t="shared" si="5"/>
        <v>0.27938785372320879</v>
      </c>
      <c r="U19" s="28">
        <f>'FY 2008 Rev 01-15-10'!E12</f>
        <v>14349223</v>
      </c>
      <c r="V19" s="28">
        <f>SUM('FY 2008 Rev 01-15-10'!F12:H12)</f>
        <v>4225537.04</v>
      </c>
      <c r="W19" s="28">
        <f>'FY 2008 Rev 01-15-10'!D12</f>
        <v>16017505.82</v>
      </c>
      <c r="X19" s="12">
        <f t="shared" si="6"/>
        <v>0.26380742966385262</v>
      </c>
    </row>
    <row r="20" spans="1:24" ht="15.75" customHeight="1">
      <c r="A20" s="131" t="s">
        <v>2</v>
      </c>
      <c r="B20" s="131"/>
      <c r="C20" s="16">
        <f t="shared" si="8"/>
        <v>38925096</v>
      </c>
      <c r="D20" s="16">
        <f t="shared" si="8"/>
        <v>6957507</v>
      </c>
      <c r="E20" s="12">
        <f t="shared" si="0"/>
        <v>0.17874090792223093</v>
      </c>
      <c r="F20" s="22">
        <f t="shared" si="1"/>
        <v>-2773767</v>
      </c>
      <c r="G20" s="27">
        <f t="shared" si="9"/>
        <v>9731274</v>
      </c>
      <c r="H20" s="27">
        <f t="shared" si="2"/>
        <v>31967589</v>
      </c>
      <c r="I20" s="10">
        <v>0.25</v>
      </c>
      <c r="J20" s="21" t="str">
        <f t="shared" si="7"/>
        <v>Fees/Charges for Services</v>
      </c>
      <c r="K20" s="83">
        <v>38925096</v>
      </c>
      <c r="L20" s="83">
        <f>1520268+1242902+1872813+9300+807916+1504308</f>
        <v>6957507</v>
      </c>
      <c r="M20" s="41">
        <f t="shared" si="3"/>
        <v>0.17874090792223093</v>
      </c>
      <c r="N20" s="16">
        <v>40351226</v>
      </c>
      <c r="O20" s="28">
        <v>7151642.0300000003</v>
      </c>
      <c r="P20" s="12">
        <f t="shared" si="4"/>
        <v>0.17723481388149148</v>
      </c>
      <c r="Q20" s="28">
        <f>'FY 2009 Rev 01-15-10'!E21</f>
        <v>38656872</v>
      </c>
      <c r="R20" s="28">
        <f>SUM('FY 2009 Rev 01-15-10'!F21:H21)</f>
        <v>6447635.6799999997</v>
      </c>
      <c r="S20" s="28">
        <f>'FY 2009 Rev 01-15-10'!D21</f>
        <v>38824923.710000001</v>
      </c>
      <c r="T20" s="12">
        <f t="shared" si="5"/>
        <v>0.16606950030758991</v>
      </c>
      <c r="U20" s="28">
        <f>'FY 2008 Rev 01-15-10'!E20</f>
        <v>34135331</v>
      </c>
      <c r="V20" s="28">
        <f>SUM('FY 2008 Rev 01-15-10'!F20:H20)</f>
        <v>6752127.9000000004</v>
      </c>
      <c r="W20" s="28">
        <f>'FY 2008 Rev 01-15-10'!D20</f>
        <v>39520826.649999999</v>
      </c>
      <c r="X20" s="12">
        <f t="shared" si="6"/>
        <v>0.1708498650546319</v>
      </c>
    </row>
    <row r="21" spans="1:24" ht="15.75" customHeight="1">
      <c r="A21" s="131" t="s">
        <v>4</v>
      </c>
      <c r="B21" s="131"/>
      <c r="C21" s="16">
        <f t="shared" si="8"/>
        <v>3814000</v>
      </c>
      <c r="D21" s="16">
        <f t="shared" si="8"/>
        <v>671735</v>
      </c>
      <c r="E21" s="12">
        <f t="shared" si="0"/>
        <v>0.17612349239643418</v>
      </c>
      <c r="F21" s="22">
        <f t="shared" si="1"/>
        <v>-281765</v>
      </c>
      <c r="G21" s="27">
        <f t="shared" si="9"/>
        <v>953500</v>
      </c>
      <c r="H21" s="27">
        <f t="shared" si="2"/>
        <v>3142265</v>
      </c>
      <c r="I21" s="10">
        <v>0.25</v>
      </c>
      <c r="J21" s="21" t="str">
        <f t="shared" si="7"/>
        <v>Fines</v>
      </c>
      <c r="K21" s="83">
        <v>3814000</v>
      </c>
      <c r="L21" s="83">
        <v>671735</v>
      </c>
      <c r="M21" s="41">
        <f t="shared" si="3"/>
        <v>0.17612349239643418</v>
      </c>
      <c r="N21" s="16">
        <v>4596375</v>
      </c>
      <c r="O21" s="28">
        <v>903594.67</v>
      </c>
      <c r="P21" s="12">
        <f t="shared" si="4"/>
        <v>0.19658854423322727</v>
      </c>
      <c r="Q21" s="28">
        <f>'FY 2009 Rev 01-15-10'!E23</f>
        <v>4675500</v>
      </c>
      <c r="R21" s="28">
        <f>SUM('FY 2009 Rev 01-15-10'!F23:H23)</f>
        <v>1025229.77</v>
      </c>
      <c r="S21" s="28">
        <f>'FY 2009 Rev 01-15-10'!D23</f>
        <v>4484058.21</v>
      </c>
      <c r="T21" s="12">
        <f t="shared" si="5"/>
        <v>0.22863881822800869</v>
      </c>
      <c r="U21" s="28">
        <f>'FY 2008 Rev 01-15-10'!E22</f>
        <v>5009825</v>
      </c>
      <c r="V21" s="28">
        <f>SUM('FY 2008 Rev 01-15-10'!F22:H22)</f>
        <v>794655.49</v>
      </c>
      <c r="W21" s="28">
        <f>'FY 2008 Rev 01-15-10'!D22</f>
        <v>5028905.6100000003</v>
      </c>
      <c r="X21" s="12">
        <f t="shared" si="6"/>
        <v>0.15801757909709502</v>
      </c>
    </row>
    <row r="22" spans="1:24" ht="15.75" customHeight="1">
      <c r="A22" s="131" t="s">
        <v>3</v>
      </c>
      <c r="B22" s="131"/>
      <c r="C22" s="16">
        <f t="shared" si="8"/>
        <v>3212597</v>
      </c>
      <c r="D22" s="16">
        <f t="shared" si="8"/>
        <v>1360324</v>
      </c>
      <c r="E22" s="12">
        <f t="shared" si="0"/>
        <v>0.42343437412162183</v>
      </c>
      <c r="F22" s="22">
        <f t="shared" si="1"/>
        <v>557174.75</v>
      </c>
      <c r="G22" s="26">
        <f t="shared" si="9"/>
        <v>803149.25</v>
      </c>
      <c r="H22" s="27">
        <f t="shared" si="2"/>
        <v>1852273</v>
      </c>
      <c r="I22" s="10">
        <v>0.25</v>
      </c>
      <c r="J22" s="21" t="str">
        <f t="shared" si="7"/>
        <v>Investment Revenue</v>
      </c>
      <c r="K22" s="83">
        <v>3212597</v>
      </c>
      <c r="L22" s="83">
        <f>876216+484108</f>
        <v>1360324</v>
      </c>
      <c r="M22" s="41">
        <f t="shared" si="3"/>
        <v>0.42343437412162183</v>
      </c>
      <c r="N22" s="16">
        <v>8606066</v>
      </c>
      <c r="O22" s="28">
        <v>1015713.26</v>
      </c>
      <c r="P22" s="12">
        <f t="shared" si="4"/>
        <v>0.1180229456757594</v>
      </c>
      <c r="Q22" s="28">
        <f>'FY 2009 Rev 01-15-10'!E26</f>
        <v>9130674</v>
      </c>
      <c r="R22" s="28">
        <f>SUM('FY 2009 Rev 01-15-10'!F26:H26)</f>
        <v>2446394.8199999998</v>
      </c>
      <c r="S22" s="28">
        <f>'FY 2009 Rev 01-15-10'!D26</f>
        <v>8875084.7300000004</v>
      </c>
      <c r="T22" s="12">
        <f t="shared" si="5"/>
        <v>0.27564748894515623</v>
      </c>
      <c r="U22" s="28">
        <f>'FY 2008 Rev 01-15-10'!E25</f>
        <v>13220197</v>
      </c>
      <c r="V22" s="28">
        <f>SUM('FY 2008 Rev 01-15-10'!F25:H25)</f>
        <v>4470038.26</v>
      </c>
      <c r="W22" s="28">
        <f>'FY 2008 Rev 01-15-10'!D25</f>
        <v>17328876.469999999</v>
      </c>
      <c r="X22" s="12">
        <f t="shared" si="6"/>
        <v>0.25795314934228969</v>
      </c>
    </row>
    <row r="23" spans="1:24" ht="15.75" customHeight="1" thickBot="1">
      <c r="A23" s="131" t="s">
        <v>27</v>
      </c>
      <c r="B23" s="131"/>
      <c r="C23" s="16">
        <f t="shared" si="8"/>
        <v>29807534</v>
      </c>
      <c r="D23" s="16">
        <f t="shared" si="8"/>
        <v>31021308</v>
      </c>
      <c r="E23" s="12">
        <f t="shared" si="0"/>
        <v>1.0407203762646047</v>
      </c>
      <c r="F23" s="22">
        <f t="shared" si="1"/>
        <v>23569424.5</v>
      </c>
      <c r="G23" s="27">
        <f t="shared" si="9"/>
        <v>7451883.5</v>
      </c>
      <c r="H23" s="27">
        <v>0</v>
      </c>
      <c r="I23" s="10">
        <v>0.25</v>
      </c>
      <c r="J23" s="21" t="str">
        <f t="shared" si="7"/>
        <v>Miscellaneous</v>
      </c>
      <c r="K23" s="84">
        <f>19311594+880940+9605000+10000</f>
        <v>29807534</v>
      </c>
      <c r="L23" s="84">
        <f>694341+336542+949541+7476+294469+48000+11178+25420561+3259200</f>
        <v>31021308</v>
      </c>
      <c r="M23" s="38">
        <f t="shared" si="3"/>
        <v>1.0407203762646047</v>
      </c>
      <c r="N23" s="32">
        <v>29809162</v>
      </c>
      <c r="O23" s="33">
        <v>1952153.95</v>
      </c>
      <c r="P23" s="38">
        <f t="shared" si="4"/>
        <v>6.5488387429341349E-2</v>
      </c>
      <c r="Q23" s="33">
        <f>'FY 2009 Rev 01-15-10'!E30+'FY 2009 Rev 01-15-10'!E36+'FY 2009 Rev 01-15-10'!E43</f>
        <v>27526735</v>
      </c>
      <c r="R23" s="33">
        <f>SUM('FY 2009 Rev 01-15-10'!F30:H30,'FY 2009 Rev 01-15-10'!F36:H36,'FY 2009 Rev 01-15-10'!F43:H43)</f>
        <v>4489312.3899999997</v>
      </c>
      <c r="S23" s="33">
        <f>'FY 2009 Rev 01-15-10'!D30+'FY 2009 Rev 01-15-10'!D36+'FY 2009 Rev 01-15-10'!D43</f>
        <v>134307912.17000002</v>
      </c>
      <c r="T23" s="38">
        <f t="shared" si="5"/>
        <v>3.3425524360155785E-2</v>
      </c>
      <c r="U23" s="33">
        <f>'FY 2008 Rev 01-15-10'!E29+'FY 2008 Rev 01-15-10'!E35+'FY 2008 Rev 01-15-10'!E41</f>
        <v>26955037</v>
      </c>
      <c r="V23" s="33">
        <f>SUM('FY 2008 Rev 01-15-10'!F29:H29,'FY 2008 Rev 01-15-10'!F35:H35,'FY 2008 Rev 01-15-10'!F41:H41)</f>
        <v>3588866.6100000003</v>
      </c>
      <c r="W23" s="33">
        <f>'FY 2008 Rev 01-15-10'!D29+'FY 2008 Rev 01-15-10'!D35+'FY 2008 Rev 01-15-10'!D41</f>
        <v>103901511.08000001</v>
      </c>
      <c r="X23" s="38">
        <f t="shared" si="6"/>
        <v>3.4541043462175604E-2</v>
      </c>
    </row>
    <row r="24" spans="1:24" ht="15.75" customHeight="1" thickBot="1">
      <c r="A24" s="137" t="s">
        <v>28</v>
      </c>
      <c r="B24" s="137"/>
      <c r="C24" s="11">
        <f>SUM(C17:C23)</f>
        <v>257065347</v>
      </c>
      <c r="D24" s="11">
        <f>SUM(D17:D23)</f>
        <v>142375171</v>
      </c>
      <c r="E24" s="12">
        <f t="shared" si="0"/>
        <v>0.55384816608517828</v>
      </c>
      <c r="F24" s="17">
        <f>SUM(F17:F23)</f>
        <v>78108834.25</v>
      </c>
      <c r="G24" s="27">
        <f t="shared" si="9"/>
        <v>64266336.75</v>
      </c>
      <c r="H24" s="27"/>
      <c r="J24" s="21"/>
      <c r="K24" s="85">
        <f>SUM(K17:K23)</f>
        <v>257065347</v>
      </c>
      <c r="L24" s="85">
        <f>SUM(L17:L23)</f>
        <v>142375171</v>
      </c>
      <c r="M24" s="39">
        <f t="shared" si="3"/>
        <v>0.55384816608517828</v>
      </c>
      <c r="N24" s="31">
        <f>SUM(N17:N23)</f>
        <v>270401747</v>
      </c>
      <c r="O24" s="31">
        <f>SUM(O17:O23)</f>
        <v>108218494.06000002</v>
      </c>
      <c r="P24" s="39">
        <f t="shared" si="4"/>
        <v>0.40021373848594261</v>
      </c>
      <c r="Q24" s="31">
        <f>SUM(Q17:Q23)</f>
        <v>263954864</v>
      </c>
      <c r="R24" s="31">
        <f>SUM(R17:R23)</f>
        <v>97316673.649999976</v>
      </c>
      <c r="S24" s="31">
        <f>SUM(S17:S23)</f>
        <v>380311182.38</v>
      </c>
      <c r="T24" s="39">
        <f t="shared" si="5"/>
        <v>0.25588696351495371</v>
      </c>
      <c r="U24" s="31">
        <f>SUM(U17:U23)</f>
        <v>265564741</v>
      </c>
      <c r="V24" s="31">
        <f>SUM(V17:V23)</f>
        <v>96776045.670000002</v>
      </c>
      <c r="W24" s="31">
        <f>SUM(W17:W23)</f>
        <v>353529308.14999998</v>
      </c>
      <c r="X24" s="39">
        <f t="shared" si="6"/>
        <v>0.27374263869783211</v>
      </c>
    </row>
    <row r="25" spans="1:24" ht="22.5" customHeight="1" thickTop="1">
      <c r="J25" s="21"/>
      <c r="K25" s="26"/>
    </row>
    <row r="26" spans="1:24">
      <c r="J26" s="21"/>
      <c r="K26" s="26"/>
    </row>
    <row r="40" spans="1:30">
      <c r="J40" s="35"/>
      <c r="K40" s="35"/>
    </row>
    <row r="41" spans="1:30">
      <c r="J41" s="35"/>
      <c r="K41" s="35"/>
    </row>
    <row r="42" spans="1:30">
      <c r="J42" s="35"/>
      <c r="K42" s="35"/>
    </row>
    <row r="43" spans="1:30">
      <c r="J43" s="35"/>
      <c r="K43" s="35"/>
    </row>
    <row r="44" spans="1:30">
      <c r="J44" s="35"/>
      <c r="K44" s="35"/>
    </row>
    <row r="45" spans="1:30">
      <c r="J45" s="35"/>
      <c r="K45" s="35"/>
    </row>
    <row r="46" spans="1:30" ht="33" customHeight="1">
      <c r="A46" s="133" t="s">
        <v>130</v>
      </c>
      <c r="B46" s="133"/>
      <c r="C46" s="133"/>
      <c r="D46" s="133"/>
      <c r="E46" s="133"/>
      <c r="F46" s="133"/>
      <c r="J46" s="35"/>
      <c r="K46" s="35"/>
    </row>
    <row r="47" spans="1:30" ht="12" customHeight="1">
      <c r="B47" s="18"/>
      <c r="C47" s="18"/>
      <c r="D47" s="18"/>
      <c r="E47" s="18"/>
      <c r="J47" s="35"/>
      <c r="K47" s="35"/>
    </row>
    <row r="48" spans="1:30" ht="36" customHeight="1">
      <c r="A48" s="138"/>
      <c r="B48" s="138"/>
      <c r="C48" s="19" t="s">
        <v>151</v>
      </c>
      <c r="D48" s="19" t="s">
        <v>157</v>
      </c>
      <c r="E48" s="19" t="s">
        <v>25</v>
      </c>
      <c r="F48" s="9" t="s">
        <v>13</v>
      </c>
      <c r="G48" s="10">
        <v>0.25</v>
      </c>
      <c r="H48" s="2" t="s">
        <v>43</v>
      </c>
      <c r="K48" s="40" t="s">
        <v>151</v>
      </c>
      <c r="L48" s="36" t="s">
        <v>155</v>
      </c>
      <c r="M48" s="37">
        <v>2011</v>
      </c>
      <c r="N48" s="36" t="s">
        <v>156</v>
      </c>
      <c r="O48" s="40" t="s">
        <v>94</v>
      </c>
      <c r="P48" s="36" t="s">
        <v>108</v>
      </c>
      <c r="Q48" s="37">
        <v>2010</v>
      </c>
      <c r="R48" s="36" t="s">
        <v>109</v>
      </c>
      <c r="S48" s="36" t="s">
        <v>1</v>
      </c>
      <c r="T48" s="36" t="s">
        <v>110</v>
      </c>
      <c r="U48" s="37">
        <v>2009</v>
      </c>
      <c r="V48" s="36" t="s">
        <v>111</v>
      </c>
      <c r="W48" s="36">
        <v>2009</v>
      </c>
      <c r="X48" s="36" t="s">
        <v>112</v>
      </c>
      <c r="Y48" s="36" t="s">
        <v>104</v>
      </c>
      <c r="Z48" s="36" t="s">
        <v>113</v>
      </c>
      <c r="AA48" s="37">
        <v>2008</v>
      </c>
      <c r="AB48" s="36" t="s">
        <v>114</v>
      </c>
      <c r="AC48" s="36">
        <v>2008</v>
      </c>
      <c r="AD48" s="36" t="s">
        <v>115</v>
      </c>
    </row>
    <row r="49" spans="1:30" ht="15.75" customHeight="1">
      <c r="A49" s="135" t="s">
        <v>29</v>
      </c>
      <c r="B49" s="136"/>
      <c r="C49" s="11">
        <f>K49</f>
        <v>359430</v>
      </c>
      <c r="D49" s="89">
        <f>L49</f>
        <v>56380</v>
      </c>
      <c r="E49" s="12">
        <f t="shared" ref="E49:E62" si="10">(D49/C49)</f>
        <v>0.15685947194168545</v>
      </c>
      <c r="F49" s="11">
        <f>+G49-D49</f>
        <v>33477.5</v>
      </c>
      <c r="G49" s="23">
        <f>C49*0.25</f>
        <v>89857.5</v>
      </c>
      <c r="H49" s="24">
        <f t="shared" ref="H49:H60" si="11">C49-D49</f>
        <v>303050</v>
      </c>
      <c r="I49" s="1">
        <v>0.25</v>
      </c>
      <c r="J49" s="35" t="s">
        <v>29</v>
      </c>
      <c r="K49" s="13">
        <v>359430</v>
      </c>
      <c r="L49" s="82">
        <v>56380</v>
      </c>
      <c r="M49" s="41">
        <f t="shared" ref="M49:M62" si="12">(L49/K49)</f>
        <v>0.15685947194168545</v>
      </c>
      <c r="N49" s="13">
        <f>K49-L49</f>
        <v>303050</v>
      </c>
      <c r="O49" s="13">
        <v>346531</v>
      </c>
      <c r="P49" s="13">
        <v>61980.31</v>
      </c>
      <c r="Q49" s="41">
        <f t="shared" ref="Q49:Q62" si="13">(P49/O49)</f>
        <v>0.17885935168859352</v>
      </c>
      <c r="R49" s="13">
        <f>O49-P49</f>
        <v>284550.69</v>
      </c>
      <c r="S49" s="13">
        <f>'FY 2009 Exp 01-15-10'!C2</f>
        <v>351630</v>
      </c>
      <c r="T49" s="13">
        <f>SUM('FY 2009 Exp 01-15-10'!F2:H2)</f>
        <v>65480.17</v>
      </c>
      <c r="U49" s="41">
        <f>T49/S49</f>
        <v>0.18621895173904388</v>
      </c>
      <c r="V49" s="13">
        <f>'FY 2009 Exp 01-15-10'!D2</f>
        <v>525313</v>
      </c>
      <c r="W49" s="41">
        <f>T49/V49</f>
        <v>0.12464981829880471</v>
      </c>
      <c r="X49" s="13">
        <f>S49-T49</f>
        <v>286149.83</v>
      </c>
      <c r="Y49" s="13">
        <f>'FY 2008 Exp 01-15-10'!C2</f>
        <v>370277</v>
      </c>
      <c r="Z49" s="13">
        <f>SUM('FY 2008 Exp 01-15-10'!F2:H2)</f>
        <v>52360.36</v>
      </c>
      <c r="AA49" s="41">
        <f>Z49/Y49</f>
        <v>0.14140862111338268</v>
      </c>
      <c r="AB49" s="13">
        <f>'FY 2008 Exp 01-15-10'!D2</f>
        <v>727556</v>
      </c>
      <c r="AC49" s="41">
        <f>Z49/AB49</f>
        <v>7.1967463672899412E-2</v>
      </c>
      <c r="AD49" s="13">
        <f>Y49-Z49</f>
        <v>317916.64</v>
      </c>
    </row>
    <row r="50" spans="1:30" ht="15.75" customHeight="1">
      <c r="A50" s="135" t="s">
        <v>116</v>
      </c>
      <c r="B50" s="136"/>
      <c r="C50" s="88">
        <f t="shared" ref="C50:C61" si="14">K50</f>
        <v>1134812</v>
      </c>
      <c r="D50" s="89">
        <f t="shared" ref="D50:D61" si="15">L50</f>
        <v>384668</v>
      </c>
      <c r="E50" s="12">
        <f t="shared" si="10"/>
        <v>0.33897068413093973</v>
      </c>
      <c r="F50" s="28">
        <f t="shared" ref="F50:F62" si="16">+G50-D50</f>
        <v>-100965</v>
      </c>
      <c r="G50" s="25">
        <f t="shared" ref="G50:G62" si="17">C50*0.25</f>
        <v>283703</v>
      </c>
      <c r="H50" s="25">
        <f t="shared" si="11"/>
        <v>750144</v>
      </c>
      <c r="I50" s="1">
        <v>0.25</v>
      </c>
      <c r="J50" s="35" t="s">
        <v>116</v>
      </c>
      <c r="K50" s="83">
        <v>1134812</v>
      </c>
      <c r="L50" s="86">
        <v>384668</v>
      </c>
      <c r="M50" s="41">
        <f t="shared" si="12"/>
        <v>0.33897068413093973</v>
      </c>
      <c r="N50" s="42">
        <f t="shared" ref="N50:N61" si="18">K50-L50</f>
        <v>750144</v>
      </c>
      <c r="O50" s="42">
        <v>1078918</v>
      </c>
      <c r="P50" s="42">
        <v>525135.30000000005</v>
      </c>
      <c r="Q50" s="41">
        <f t="shared" si="13"/>
        <v>0.48672401424389994</v>
      </c>
      <c r="R50" s="42">
        <f t="shared" ref="R50:R61" si="19">O50-P50</f>
        <v>553782.69999999995</v>
      </c>
      <c r="S50" s="42">
        <f>'FY 2009 Exp 01-15-10'!C3</f>
        <v>1209220</v>
      </c>
      <c r="T50" s="42">
        <f>SUM('FY 2009 Exp 01-15-10'!F3:H3)</f>
        <v>318959.70999999996</v>
      </c>
      <c r="U50" s="41">
        <f t="shared" ref="U50:U62" si="20">T50/S50</f>
        <v>0.26377310166884432</v>
      </c>
      <c r="V50" s="42">
        <f>'FY 2009 Exp 01-15-10'!D3</f>
        <v>1275791</v>
      </c>
      <c r="W50" s="41">
        <f t="shared" ref="W50:W62" si="21">T50/V50</f>
        <v>0.25000937457624328</v>
      </c>
      <c r="X50" s="42">
        <f t="shared" ref="X50:X61" si="22">S50-T50</f>
        <v>890260.29</v>
      </c>
      <c r="Y50" s="42">
        <f>'FY 2008 Exp 01-15-10'!C3</f>
        <v>1199159</v>
      </c>
      <c r="Z50" s="42">
        <f>SUM('FY 2008 Exp 01-15-10'!F3:H3)</f>
        <v>426238.22</v>
      </c>
      <c r="AA50" s="41">
        <f t="shared" ref="AA50:AA62" si="23">Z50/Y50</f>
        <v>0.35544762621136977</v>
      </c>
      <c r="AB50" s="42">
        <f>'FY 2008 Exp 01-15-10'!D3</f>
        <v>1238216</v>
      </c>
      <c r="AC50" s="41">
        <f t="shared" ref="AC50:AC62" si="24">Z50/AB50</f>
        <v>0.34423575531248179</v>
      </c>
      <c r="AD50" s="13">
        <f t="shared" ref="AD50:AD61" si="25">Y50-Z50</f>
        <v>772920.78</v>
      </c>
    </row>
    <row r="51" spans="1:30" ht="15.75" customHeight="1">
      <c r="A51" s="135" t="s">
        <v>131</v>
      </c>
      <c r="B51" s="136"/>
      <c r="C51" s="88">
        <f t="shared" si="14"/>
        <v>43487800</v>
      </c>
      <c r="D51" s="89">
        <f t="shared" si="15"/>
        <v>2167233</v>
      </c>
      <c r="E51" s="12">
        <f t="shared" si="10"/>
        <v>4.9835425107731361E-2</v>
      </c>
      <c r="F51" s="28">
        <f t="shared" si="16"/>
        <v>8704717</v>
      </c>
      <c r="G51" s="25">
        <f t="shared" si="17"/>
        <v>10871950</v>
      </c>
      <c r="H51" s="25">
        <f t="shared" si="11"/>
        <v>41320567</v>
      </c>
      <c r="I51" s="1">
        <v>0.25</v>
      </c>
      <c r="J51" s="35" t="s">
        <v>131</v>
      </c>
      <c r="K51" s="83">
        <v>43487800</v>
      </c>
      <c r="L51" s="86">
        <v>2167233</v>
      </c>
      <c r="M51" s="41">
        <f t="shared" si="12"/>
        <v>4.9835425107731361E-2</v>
      </c>
      <c r="N51" s="42">
        <f t="shared" si="18"/>
        <v>41320567</v>
      </c>
      <c r="O51" s="42">
        <v>43665123</v>
      </c>
      <c r="P51" s="42">
        <v>293550.90000000002</v>
      </c>
      <c r="Q51" s="41">
        <f t="shared" si="13"/>
        <v>6.7227773525337375E-3</v>
      </c>
      <c r="R51" s="42">
        <f t="shared" si="19"/>
        <v>43371572.100000001</v>
      </c>
      <c r="S51" s="42">
        <f>'FY 2009 Exp 01-15-10'!C4</f>
        <v>42789548</v>
      </c>
      <c r="T51" s="42">
        <f>SUM('FY 2009 Exp 01-15-10'!F4:H4)</f>
        <v>1000</v>
      </c>
      <c r="U51" s="41">
        <f t="shared" si="20"/>
        <v>2.3370193113514544E-5</v>
      </c>
      <c r="V51" s="42">
        <f>'FY 2009 Exp 01-15-10'!D4</f>
        <v>47916306</v>
      </c>
      <c r="W51" s="41">
        <f t="shared" si="21"/>
        <v>2.0869722302883699E-5</v>
      </c>
      <c r="X51" s="42">
        <f t="shared" si="22"/>
        <v>42788548</v>
      </c>
      <c r="Y51" s="42">
        <f>'FY 2008 Exp 01-15-10'!C4</f>
        <v>39688692</v>
      </c>
      <c r="Z51" s="42">
        <f>SUM('FY 2008 Exp 01-15-10'!F4:H4)</f>
        <v>300</v>
      </c>
      <c r="AA51" s="41">
        <f t="shared" si="23"/>
        <v>7.5588280913868364E-6</v>
      </c>
      <c r="AB51" s="42">
        <f>'FY 2008 Exp 01-15-10'!D4</f>
        <v>50299627</v>
      </c>
      <c r="AC51" s="41">
        <f t="shared" si="24"/>
        <v>5.9642589397332909E-6</v>
      </c>
      <c r="AD51" s="13">
        <f t="shared" si="25"/>
        <v>39688392</v>
      </c>
    </row>
    <row r="52" spans="1:30" ht="15.75" customHeight="1">
      <c r="A52" s="135" t="s">
        <v>30</v>
      </c>
      <c r="B52" s="136"/>
      <c r="C52" s="88">
        <f t="shared" si="14"/>
        <v>2892101</v>
      </c>
      <c r="D52" s="89">
        <f t="shared" si="15"/>
        <v>409939</v>
      </c>
      <c r="E52" s="12">
        <f t="shared" si="10"/>
        <v>0.14174435816729775</v>
      </c>
      <c r="F52" s="28">
        <f t="shared" si="16"/>
        <v>313086.25</v>
      </c>
      <c r="G52" s="25">
        <f t="shared" si="17"/>
        <v>723025.25</v>
      </c>
      <c r="H52" s="25">
        <f t="shared" si="11"/>
        <v>2482162</v>
      </c>
      <c r="I52" s="1">
        <v>0.25</v>
      </c>
      <c r="J52" s="35" t="s">
        <v>30</v>
      </c>
      <c r="K52" s="83">
        <v>2892101</v>
      </c>
      <c r="L52" s="86">
        <v>409939</v>
      </c>
      <c r="M52" s="41">
        <f t="shared" si="12"/>
        <v>0.14174435816729775</v>
      </c>
      <c r="N52" s="42">
        <f t="shared" si="18"/>
        <v>2482162</v>
      </c>
      <c r="O52" s="42">
        <v>3263326</v>
      </c>
      <c r="P52" s="42">
        <v>526952.73</v>
      </c>
      <c r="Q52" s="41">
        <f t="shared" si="13"/>
        <v>0.16147719535222652</v>
      </c>
      <c r="R52" s="42">
        <f t="shared" si="19"/>
        <v>2736373.27</v>
      </c>
      <c r="S52" s="42">
        <f>'FY 2009 Exp 01-15-10'!C5</f>
        <v>3360551</v>
      </c>
      <c r="T52" s="42">
        <f>SUM('FY 2009 Exp 01-15-10'!F5:H5)</f>
        <v>413309.75</v>
      </c>
      <c r="U52" s="41">
        <f t="shared" si="20"/>
        <v>0.12298868548639791</v>
      </c>
      <c r="V52" s="42">
        <f>'FY 2009 Exp 01-15-10'!D5</f>
        <v>3318332</v>
      </c>
      <c r="W52" s="41">
        <f t="shared" si="21"/>
        <v>0.12455346541575707</v>
      </c>
      <c r="X52" s="42">
        <f t="shared" si="22"/>
        <v>2947241.25</v>
      </c>
      <c r="Y52" s="42">
        <f>'FY 2008 Exp 01-15-10'!C5</f>
        <v>2433415</v>
      </c>
      <c r="Z52" s="42">
        <f>SUM('FY 2008 Exp 01-15-10'!F5:H5)</f>
        <v>459684.51</v>
      </c>
      <c r="AA52" s="41">
        <f t="shared" si="23"/>
        <v>0.1889051024999846</v>
      </c>
      <c r="AB52" s="42">
        <f>'FY 2008 Exp 01-15-10'!D5</f>
        <v>3139760</v>
      </c>
      <c r="AC52" s="41">
        <f t="shared" si="24"/>
        <v>0.14640753114887761</v>
      </c>
      <c r="AD52" s="13">
        <f t="shared" si="25"/>
        <v>1973730.49</v>
      </c>
    </row>
    <row r="53" spans="1:30" ht="15.75" customHeight="1">
      <c r="A53" s="135" t="s">
        <v>15</v>
      </c>
      <c r="B53" s="136"/>
      <c r="C53" s="88">
        <f t="shared" si="14"/>
        <v>10586321</v>
      </c>
      <c r="D53" s="89">
        <f t="shared" si="15"/>
        <v>1935547</v>
      </c>
      <c r="E53" s="12">
        <f t="shared" si="10"/>
        <v>0.18283471661212616</v>
      </c>
      <c r="F53" s="28">
        <f t="shared" si="16"/>
        <v>711033.25</v>
      </c>
      <c r="G53" s="25">
        <f t="shared" si="17"/>
        <v>2646580.25</v>
      </c>
      <c r="H53" s="25">
        <f t="shared" si="11"/>
        <v>8650774</v>
      </c>
      <c r="I53" s="1">
        <v>0.25</v>
      </c>
      <c r="J53" s="35" t="s">
        <v>15</v>
      </c>
      <c r="K53" s="83">
        <v>10586321</v>
      </c>
      <c r="L53" s="86">
        <v>1935547</v>
      </c>
      <c r="M53" s="41">
        <f t="shared" si="12"/>
        <v>0.18283471661212616</v>
      </c>
      <c r="N53" s="42">
        <f t="shared" si="18"/>
        <v>8650774</v>
      </c>
      <c r="O53" s="42">
        <v>10604579</v>
      </c>
      <c r="P53" s="42">
        <v>2262421.56</v>
      </c>
      <c r="Q53" s="41">
        <f t="shared" si="13"/>
        <v>0.21334383571474172</v>
      </c>
      <c r="R53" s="42">
        <f t="shared" si="19"/>
        <v>8342157.4399999995</v>
      </c>
      <c r="S53" s="42">
        <f>'FY 2009 Exp 01-15-10'!C6</f>
        <v>10906229</v>
      </c>
      <c r="T53" s="42">
        <f>SUM('FY 2009 Exp 01-15-10'!F6:H6)</f>
        <v>1433663.59</v>
      </c>
      <c r="U53" s="41">
        <f t="shared" si="20"/>
        <v>0.13145364818582114</v>
      </c>
      <c r="V53" s="42">
        <f>'FY 2009 Exp 01-15-10'!D6</f>
        <v>11732575</v>
      </c>
      <c r="W53" s="41">
        <f t="shared" si="21"/>
        <v>0.12219513533900274</v>
      </c>
      <c r="X53" s="42">
        <f t="shared" si="22"/>
        <v>9472565.4100000001</v>
      </c>
      <c r="Y53" s="42">
        <f>'FY 2008 Exp 01-15-10'!C6</f>
        <v>9925189</v>
      </c>
      <c r="Z53" s="42">
        <f>SUM('FY 2008 Exp 01-15-10'!F6:H6)</f>
        <v>1742101.62</v>
      </c>
      <c r="AA53" s="41">
        <f t="shared" si="23"/>
        <v>0.17552326912867858</v>
      </c>
      <c r="AB53" s="42">
        <f>'FY 2008 Exp 01-15-10'!D6</f>
        <v>10236244</v>
      </c>
      <c r="AC53" s="41">
        <f t="shared" si="24"/>
        <v>0.17018953631820422</v>
      </c>
      <c r="AD53" s="13">
        <f t="shared" si="25"/>
        <v>8183087.3799999999</v>
      </c>
    </row>
    <row r="54" spans="1:30" ht="15.75" customHeight="1">
      <c r="A54" s="135" t="s">
        <v>14</v>
      </c>
      <c r="B54" s="136"/>
      <c r="C54" s="88">
        <f t="shared" si="14"/>
        <v>41179358</v>
      </c>
      <c r="D54" s="89">
        <f t="shared" si="15"/>
        <v>11519665</v>
      </c>
      <c r="E54" s="12">
        <f t="shared" si="10"/>
        <v>0.27974367643128384</v>
      </c>
      <c r="F54" s="28">
        <f t="shared" si="16"/>
        <v>-1224825.5</v>
      </c>
      <c r="G54" s="25">
        <f t="shared" si="17"/>
        <v>10294839.5</v>
      </c>
      <c r="H54" s="25">
        <f t="shared" si="11"/>
        <v>29659693</v>
      </c>
      <c r="I54" s="1">
        <v>0.25</v>
      </c>
      <c r="J54" s="35" t="s">
        <v>14</v>
      </c>
      <c r="K54" s="83">
        <v>41179358</v>
      </c>
      <c r="L54" s="86">
        <v>11519665</v>
      </c>
      <c r="M54" s="41">
        <f t="shared" si="12"/>
        <v>0.27974367643128384</v>
      </c>
      <c r="N54" s="42">
        <f t="shared" si="18"/>
        <v>29659693</v>
      </c>
      <c r="O54" s="42">
        <v>40714461</v>
      </c>
      <c r="P54" s="42">
        <v>9673624.4499999993</v>
      </c>
      <c r="Q54" s="41">
        <f t="shared" si="13"/>
        <v>0.23759677059214904</v>
      </c>
      <c r="R54" s="42">
        <f t="shared" si="19"/>
        <v>31040836.550000001</v>
      </c>
      <c r="S54" s="42">
        <f>'FY 2009 Exp 01-15-10'!C7</f>
        <v>39128938</v>
      </c>
      <c r="T54" s="42">
        <f>SUM('FY 2009 Exp 01-15-10'!F7:H7)</f>
        <v>5931448.0800000001</v>
      </c>
      <c r="U54" s="41">
        <f t="shared" si="20"/>
        <v>0.15158724931404988</v>
      </c>
      <c r="V54" s="42">
        <f>'FY 2009 Exp 01-15-10'!D7</f>
        <v>41658952</v>
      </c>
      <c r="W54" s="41">
        <f t="shared" si="21"/>
        <v>0.14238111606840229</v>
      </c>
      <c r="X54" s="42">
        <f t="shared" si="22"/>
        <v>33197489.920000002</v>
      </c>
      <c r="Y54" s="42">
        <f>'FY 2008 Exp 01-15-10'!C7</f>
        <v>37639150</v>
      </c>
      <c r="Z54" s="42">
        <f>SUM('FY 2008 Exp 01-15-10'!F7:H7)</f>
        <v>4862701.33</v>
      </c>
      <c r="AA54" s="41">
        <f t="shared" si="23"/>
        <v>0.12919264462667196</v>
      </c>
      <c r="AB54" s="42">
        <f>'FY 2008 Exp 01-15-10'!D7</f>
        <v>36096874</v>
      </c>
      <c r="AC54" s="41">
        <f t="shared" si="24"/>
        <v>0.13471253300216524</v>
      </c>
      <c r="AD54" s="13">
        <f t="shared" si="25"/>
        <v>32776448.670000002</v>
      </c>
    </row>
    <row r="55" spans="1:30" ht="15.75" customHeight="1">
      <c r="A55" s="135" t="s">
        <v>117</v>
      </c>
      <c r="B55" s="136"/>
      <c r="C55" s="88">
        <f t="shared" si="14"/>
        <v>19492602</v>
      </c>
      <c r="D55" s="89">
        <f t="shared" si="15"/>
        <v>3407667</v>
      </c>
      <c r="E55" s="12">
        <f t="shared" si="10"/>
        <v>0.17481847728692146</v>
      </c>
      <c r="F55" s="28">
        <f t="shared" si="16"/>
        <v>1465483.5</v>
      </c>
      <c r="G55" s="25">
        <f t="shared" si="17"/>
        <v>4873150.5</v>
      </c>
      <c r="H55" s="25">
        <f t="shared" si="11"/>
        <v>16084935</v>
      </c>
      <c r="I55" s="1">
        <v>0.25</v>
      </c>
      <c r="J55" s="35" t="s">
        <v>117</v>
      </c>
      <c r="K55" s="83">
        <v>19492602</v>
      </c>
      <c r="L55" s="86">
        <v>3407667</v>
      </c>
      <c r="M55" s="41">
        <f t="shared" si="12"/>
        <v>0.17481847728692146</v>
      </c>
      <c r="N55" s="42">
        <f t="shared" si="18"/>
        <v>16084935</v>
      </c>
      <c r="O55" s="42">
        <v>17404071</v>
      </c>
      <c r="P55" s="42">
        <v>3897891.85</v>
      </c>
      <c r="Q55" s="41">
        <f t="shared" si="13"/>
        <v>0.22396437304812192</v>
      </c>
      <c r="R55" s="42">
        <f t="shared" si="19"/>
        <v>13506179.15</v>
      </c>
      <c r="S55" s="42">
        <f>'FY 2009 Exp 01-15-10'!C8</f>
        <v>17368061</v>
      </c>
      <c r="T55" s="42">
        <f>SUM('FY 2009 Exp 01-15-10'!F8:H8)</f>
        <v>3636447.43</v>
      </c>
      <c r="U55" s="41">
        <f t="shared" si="20"/>
        <v>0.20937555608539146</v>
      </c>
      <c r="V55" s="42">
        <f>'FY 2009 Exp 01-15-10'!D8</f>
        <v>17937753</v>
      </c>
      <c r="W55" s="41">
        <f t="shared" si="21"/>
        <v>0.20272591723166219</v>
      </c>
      <c r="X55" s="42">
        <f t="shared" si="22"/>
        <v>13731613.57</v>
      </c>
      <c r="Y55" s="42">
        <f>'FY 2008 Exp 01-15-10'!C8</f>
        <v>17183257</v>
      </c>
      <c r="Z55" s="42">
        <f>SUM('FY 2008 Exp 01-15-10'!F8:H8)</f>
        <v>2418994.64</v>
      </c>
      <c r="AA55" s="41">
        <f t="shared" si="23"/>
        <v>0.14077625912247022</v>
      </c>
      <c r="AB55" s="42">
        <f>'FY 2008 Exp 01-15-10'!D8</f>
        <v>15836617</v>
      </c>
      <c r="AC55" s="41">
        <f t="shared" si="24"/>
        <v>0.15274693073653295</v>
      </c>
      <c r="AD55" s="13">
        <f t="shared" si="25"/>
        <v>14764262.359999999</v>
      </c>
    </row>
    <row r="56" spans="1:30" ht="15.75" customHeight="1">
      <c r="A56" s="135" t="s">
        <v>31</v>
      </c>
      <c r="B56" s="136"/>
      <c r="C56" s="88">
        <f t="shared" si="14"/>
        <v>17117766</v>
      </c>
      <c r="D56" s="89">
        <f t="shared" si="15"/>
        <v>3285992</v>
      </c>
      <c r="E56" s="12">
        <f t="shared" si="10"/>
        <v>0.19196383453308102</v>
      </c>
      <c r="F56" s="28">
        <f t="shared" si="16"/>
        <v>993449.5</v>
      </c>
      <c r="G56" s="25">
        <f t="shared" si="17"/>
        <v>4279441.5</v>
      </c>
      <c r="H56" s="25">
        <f t="shared" si="11"/>
        <v>13831774</v>
      </c>
      <c r="I56" s="1">
        <v>0.25</v>
      </c>
      <c r="J56" s="35" t="s">
        <v>31</v>
      </c>
      <c r="K56" s="83">
        <v>17117766</v>
      </c>
      <c r="L56" s="86">
        <v>3285992</v>
      </c>
      <c r="M56" s="41">
        <f t="shared" si="12"/>
        <v>0.19196383453308102</v>
      </c>
      <c r="N56" s="42">
        <f t="shared" si="18"/>
        <v>13831774</v>
      </c>
      <c r="O56" s="42">
        <v>17413314</v>
      </c>
      <c r="P56" s="42">
        <v>3510638.71</v>
      </c>
      <c r="Q56" s="41">
        <f t="shared" si="13"/>
        <v>0.20160658160761358</v>
      </c>
      <c r="R56" s="42">
        <f t="shared" si="19"/>
        <v>13902675.289999999</v>
      </c>
      <c r="S56" s="42">
        <f>'FY 2009 Exp 01-15-10'!C9</f>
        <v>17278014</v>
      </c>
      <c r="T56" s="42">
        <f>SUM('FY 2009 Exp 01-15-10'!F9:H9)</f>
        <v>2923154.52</v>
      </c>
      <c r="U56" s="41">
        <f t="shared" si="20"/>
        <v>0.16918347907346296</v>
      </c>
      <c r="V56" s="42">
        <f>'FY 2009 Exp 01-15-10'!D9</f>
        <v>17898937</v>
      </c>
      <c r="W56" s="41">
        <f t="shared" si="21"/>
        <v>0.16331442029211007</v>
      </c>
      <c r="X56" s="42">
        <f t="shared" si="22"/>
        <v>14354859.48</v>
      </c>
      <c r="Y56" s="42">
        <f>'FY 2008 Exp 01-15-10'!C9</f>
        <v>16892588</v>
      </c>
      <c r="Z56" s="42">
        <f>SUM('FY 2008 Exp 01-15-10'!F9:H9)</f>
        <v>2724007.23</v>
      </c>
      <c r="AA56" s="41">
        <f t="shared" si="23"/>
        <v>0.16125458277914551</v>
      </c>
      <c r="AB56" s="42">
        <f>'FY 2008 Exp 01-15-10'!D9</f>
        <v>17511804</v>
      </c>
      <c r="AC56" s="41">
        <f t="shared" si="24"/>
        <v>0.15555263352650589</v>
      </c>
      <c r="AD56" s="13">
        <f t="shared" si="25"/>
        <v>14168580.77</v>
      </c>
    </row>
    <row r="57" spans="1:30" ht="15.75" customHeight="1">
      <c r="A57" s="135" t="s">
        <v>32</v>
      </c>
      <c r="B57" s="136"/>
      <c r="C57" s="88">
        <f t="shared" si="14"/>
        <v>10895570</v>
      </c>
      <c r="D57" s="89">
        <f t="shared" si="15"/>
        <v>2195034</v>
      </c>
      <c r="E57" s="12">
        <f t="shared" si="10"/>
        <v>0.20146114429993106</v>
      </c>
      <c r="F57" s="28">
        <f t="shared" si="16"/>
        <v>528858.5</v>
      </c>
      <c r="G57" s="25">
        <f t="shared" si="17"/>
        <v>2723892.5</v>
      </c>
      <c r="H57" s="25">
        <f t="shared" si="11"/>
        <v>8700536</v>
      </c>
      <c r="I57" s="1">
        <v>0.25</v>
      </c>
      <c r="J57" s="35" t="s">
        <v>32</v>
      </c>
      <c r="K57" s="83">
        <v>10895570</v>
      </c>
      <c r="L57" s="86">
        <v>2195034</v>
      </c>
      <c r="M57" s="41">
        <f t="shared" si="12"/>
        <v>0.20146114429993106</v>
      </c>
      <c r="N57" s="42">
        <f t="shared" si="18"/>
        <v>8700536</v>
      </c>
      <c r="O57" s="42">
        <v>10775827</v>
      </c>
      <c r="P57" s="42">
        <v>2503431.64</v>
      </c>
      <c r="Q57" s="41">
        <f t="shared" si="13"/>
        <v>0.23231921225164437</v>
      </c>
      <c r="R57" s="42">
        <f t="shared" si="19"/>
        <v>8272395.3599999994</v>
      </c>
      <c r="S57" s="42">
        <f>'FY 2009 Exp 01-15-10'!C10</f>
        <v>10462445</v>
      </c>
      <c r="T57" s="42">
        <f>SUM('FY 2009 Exp 01-15-10'!F10:H10)</f>
        <v>1834247.1400000001</v>
      </c>
      <c r="U57" s="41">
        <f t="shared" si="20"/>
        <v>0.17531725519226149</v>
      </c>
      <c r="V57" s="42">
        <f>'FY 2009 Exp 01-15-10'!D10</f>
        <v>10559987</v>
      </c>
      <c r="W57" s="41">
        <f t="shared" si="21"/>
        <v>0.17369785966592574</v>
      </c>
      <c r="X57" s="42">
        <f t="shared" si="22"/>
        <v>8628197.8599999994</v>
      </c>
      <c r="Y57" s="42">
        <f>'FY 2008 Exp 01-15-10'!C10</f>
        <v>10123030</v>
      </c>
      <c r="Z57" s="42">
        <f>SUM('FY 2008 Exp 01-15-10'!F10:H10)</f>
        <v>1715125.08</v>
      </c>
      <c r="AA57" s="41">
        <f t="shared" si="23"/>
        <v>0.16942803488678784</v>
      </c>
      <c r="AB57" s="42">
        <f>'FY 2008 Exp 01-15-10'!D10</f>
        <v>10223818</v>
      </c>
      <c r="AC57" s="41">
        <f t="shared" si="24"/>
        <v>0.16775778676811345</v>
      </c>
      <c r="AD57" s="13">
        <f t="shared" si="25"/>
        <v>8407904.9199999999</v>
      </c>
    </row>
    <row r="58" spans="1:30" ht="15.75" customHeight="1">
      <c r="A58" s="135" t="s">
        <v>33</v>
      </c>
      <c r="B58" s="136"/>
      <c r="C58" s="88">
        <f t="shared" si="14"/>
        <v>11591817</v>
      </c>
      <c r="D58" s="89">
        <f t="shared" si="15"/>
        <v>9204480</v>
      </c>
      <c r="E58" s="12">
        <f t="shared" si="10"/>
        <v>0.79404980254605473</v>
      </c>
      <c r="F58" s="28">
        <f t="shared" si="16"/>
        <v>-6306525.75</v>
      </c>
      <c r="G58" s="25">
        <f t="shared" si="17"/>
        <v>2897954.25</v>
      </c>
      <c r="H58" s="25">
        <f t="shared" si="11"/>
        <v>2387337</v>
      </c>
      <c r="I58" s="1">
        <v>0.25</v>
      </c>
      <c r="J58" s="35" t="s">
        <v>33</v>
      </c>
      <c r="K58" s="83">
        <v>11591817</v>
      </c>
      <c r="L58" s="86">
        <v>9204480</v>
      </c>
      <c r="M58" s="41">
        <f t="shared" si="12"/>
        <v>0.79404980254605473</v>
      </c>
      <c r="N58" s="42">
        <f t="shared" si="18"/>
        <v>2387337</v>
      </c>
      <c r="O58" s="42">
        <v>13414559</v>
      </c>
      <c r="P58" s="42">
        <v>2210312.6</v>
      </c>
      <c r="Q58" s="41">
        <f t="shared" si="13"/>
        <v>0.16476968046433729</v>
      </c>
      <c r="R58" s="42">
        <f t="shared" si="19"/>
        <v>11204246.4</v>
      </c>
      <c r="S58" s="42">
        <f>'FY 2009 Exp 01-15-10'!C11</f>
        <v>13483773</v>
      </c>
      <c r="T58" s="42">
        <f>SUM('FY 2009 Exp 01-15-10'!F11:H11)</f>
        <v>4721352.5</v>
      </c>
      <c r="U58" s="41">
        <f t="shared" si="20"/>
        <v>0.35015069595134835</v>
      </c>
      <c r="V58" s="42">
        <f>'FY 2009 Exp 01-15-10'!D11</f>
        <v>25988724</v>
      </c>
      <c r="W58" s="41">
        <f t="shared" si="21"/>
        <v>0.18166926933388497</v>
      </c>
      <c r="X58" s="42">
        <f t="shared" si="22"/>
        <v>8762420.5</v>
      </c>
      <c r="Y58" s="42">
        <f>'FY 2008 Exp 01-15-10'!C11</f>
        <v>13190056</v>
      </c>
      <c r="Z58" s="42">
        <f>SUM('FY 2008 Exp 01-15-10'!F11:H11)</f>
        <v>3495021.5</v>
      </c>
      <c r="AA58" s="41">
        <f t="shared" si="23"/>
        <v>0.26497396978451038</v>
      </c>
      <c r="AB58" s="42">
        <f>'FY 2008 Exp 01-15-10'!D11</f>
        <v>40957636</v>
      </c>
      <c r="AC58" s="41">
        <f t="shared" si="24"/>
        <v>8.5332598297421264E-2</v>
      </c>
      <c r="AD58" s="13">
        <f t="shared" si="25"/>
        <v>9695034.5</v>
      </c>
    </row>
    <row r="59" spans="1:30" ht="15.75" customHeight="1">
      <c r="A59" s="135" t="s">
        <v>34</v>
      </c>
      <c r="B59" s="136"/>
      <c r="C59" s="88">
        <f t="shared" si="14"/>
        <v>65349602</v>
      </c>
      <c r="D59" s="89">
        <f t="shared" si="15"/>
        <v>14281768</v>
      </c>
      <c r="E59" s="12">
        <f t="shared" si="10"/>
        <v>0.21854407009242383</v>
      </c>
      <c r="F59" s="28">
        <f t="shared" si="16"/>
        <v>2055632.5</v>
      </c>
      <c r="G59" s="25">
        <f t="shared" si="17"/>
        <v>16337400.5</v>
      </c>
      <c r="H59" s="25">
        <f t="shared" si="11"/>
        <v>51067834</v>
      </c>
      <c r="I59" s="1">
        <v>0.25</v>
      </c>
      <c r="J59" s="35" t="s">
        <v>34</v>
      </c>
      <c r="K59" s="83">
        <v>65349602</v>
      </c>
      <c r="L59" s="86">
        <v>14281768</v>
      </c>
      <c r="M59" s="41">
        <f t="shared" si="12"/>
        <v>0.21854407009242383</v>
      </c>
      <c r="N59" s="42">
        <f t="shared" si="18"/>
        <v>51067834</v>
      </c>
      <c r="O59" s="42">
        <v>65544767</v>
      </c>
      <c r="P59" s="42">
        <v>15025948.539999999</v>
      </c>
      <c r="Q59" s="41">
        <f t="shared" si="13"/>
        <v>0.22924711197768083</v>
      </c>
      <c r="R59" s="42">
        <f t="shared" si="19"/>
        <v>50518818.460000001</v>
      </c>
      <c r="S59" s="42">
        <f>'FY 2009 Exp 01-15-10'!C12</f>
        <v>65608655</v>
      </c>
      <c r="T59" s="42">
        <f>SUM('FY 2009 Exp 01-15-10'!F12:H12)</f>
        <v>11934925.530000001</v>
      </c>
      <c r="U59" s="41">
        <f t="shared" si="20"/>
        <v>0.18191083981221687</v>
      </c>
      <c r="V59" s="42">
        <f>'FY 2009 Exp 01-15-10'!D12</f>
        <v>58058647</v>
      </c>
      <c r="W59" s="41">
        <f t="shared" si="21"/>
        <v>0.20556671825301065</v>
      </c>
      <c r="X59" s="42">
        <f t="shared" si="22"/>
        <v>53673729.469999999</v>
      </c>
      <c r="Y59" s="42">
        <f>'FY 2008 Exp 01-15-10'!C12</f>
        <v>64075535</v>
      </c>
      <c r="Z59" s="42">
        <f>SUM('FY 2008 Exp 01-15-10'!F12:H12)</f>
        <v>12546470.73</v>
      </c>
      <c r="AA59" s="41">
        <f t="shared" si="23"/>
        <v>0.19580750640630626</v>
      </c>
      <c r="AB59" s="42">
        <f>'FY 2008 Exp 01-15-10'!D12</f>
        <v>57996969</v>
      </c>
      <c r="AC59" s="41">
        <f t="shared" si="24"/>
        <v>0.21632976595725201</v>
      </c>
      <c r="AD59" s="13">
        <f t="shared" si="25"/>
        <v>51529064.269999996</v>
      </c>
    </row>
    <row r="60" spans="1:30" ht="15.75" customHeight="1">
      <c r="A60" s="135" t="s">
        <v>132</v>
      </c>
      <c r="B60" s="136"/>
      <c r="C60" s="88">
        <f t="shared" si="14"/>
        <v>19688923</v>
      </c>
      <c r="D60" s="89">
        <f t="shared" si="15"/>
        <v>11149834</v>
      </c>
      <c r="E60" s="12">
        <f t="shared" si="10"/>
        <v>0.56629984281009171</v>
      </c>
      <c r="F60" s="28">
        <f t="shared" si="16"/>
        <v>-6227603.25</v>
      </c>
      <c r="G60" s="25">
        <f t="shared" si="17"/>
        <v>4922230.75</v>
      </c>
      <c r="H60" s="25">
        <f t="shared" si="11"/>
        <v>8539089</v>
      </c>
      <c r="I60" s="1">
        <v>0.25</v>
      </c>
      <c r="J60" s="35" t="s">
        <v>132</v>
      </c>
      <c r="K60" s="83">
        <v>19688923</v>
      </c>
      <c r="L60" s="86">
        <v>11149834</v>
      </c>
      <c r="M60" s="41">
        <f t="shared" si="12"/>
        <v>0.56629984281009171</v>
      </c>
      <c r="N60" s="42">
        <f t="shared" si="18"/>
        <v>8539089</v>
      </c>
      <c r="O60" s="42">
        <v>19347332</v>
      </c>
      <c r="P60" s="42">
        <v>5946867.6799999997</v>
      </c>
      <c r="Q60" s="41">
        <f t="shared" si="13"/>
        <v>0.30737404413176966</v>
      </c>
      <c r="R60" s="42">
        <f t="shared" si="19"/>
        <v>13400464.32</v>
      </c>
      <c r="S60" s="42">
        <f>'FY 2009 Exp 01-15-10'!C13</f>
        <v>19861346</v>
      </c>
      <c r="T60" s="42">
        <f>SUM('FY 2009 Exp 01-15-10'!F13:H13)</f>
        <v>11557682.65</v>
      </c>
      <c r="U60" s="41">
        <f t="shared" si="20"/>
        <v>0.581918398179056</v>
      </c>
      <c r="V60" s="42">
        <f>'FY 2009 Exp 01-15-10'!D13</f>
        <v>38533167</v>
      </c>
      <c r="W60" s="41">
        <f t="shared" si="21"/>
        <v>0.29994115588786152</v>
      </c>
      <c r="X60" s="42">
        <f t="shared" si="22"/>
        <v>8303663.3499999996</v>
      </c>
      <c r="Y60" s="42">
        <f>'FY 2008 Exp 01-15-10'!C13</f>
        <v>17022879</v>
      </c>
      <c r="Z60" s="42">
        <f>SUM('FY 2008 Exp 01-15-10'!F13:H13)</f>
        <v>7032865.2899999991</v>
      </c>
      <c r="AA60" s="41">
        <f t="shared" si="23"/>
        <v>0.4131419420886443</v>
      </c>
      <c r="AB60" s="42">
        <f>'FY 2008 Exp 01-15-10'!D13</f>
        <v>37697948</v>
      </c>
      <c r="AC60" s="41">
        <f t="shared" si="24"/>
        <v>0.18655830524250283</v>
      </c>
      <c r="AD60" s="13">
        <f t="shared" si="25"/>
        <v>9990013.7100000009</v>
      </c>
    </row>
    <row r="61" spans="1:30" ht="15.75" customHeight="1" thickBot="1">
      <c r="A61" s="135" t="s">
        <v>35</v>
      </c>
      <c r="B61" s="136"/>
      <c r="C61" s="88">
        <f t="shared" si="14"/>
        <v>28150079</v>
      </c>
      <c r="D61" s="89">
        <f t="shared" si="15"/>
        <v>30143927</v>
      </c>
      <c r="E61" s="12">
        <f t="shared" si="10"/>
        <v>1.070829215079645</v>
      </c>
      <c r="F61" s="28">
        <f t="shared" si="16"/>
        <v>-23106407.25</v>
      </c>
      <c r="G61" s="25">
        <f t="shared" si="17"/>
        <v>7037519.75</v>
      </c>
      <c r="H61" s="25">
        <v>0</v>
      </c>
      <c r="I61" s="1">
        <v>0.25</v>
      </c>
      <c r="J61" s="35" t="s">
        <v>35</v>
      </c>
      <c r="K61" s="84">
        <v>28150079</v>
      </c>
      <c r="L61" s="87">
        <v>30143927</v>
      </c>
      <c r="M61" s="38">
        <f t="shared" si="12"/>
        <v>1.070829215079645</v>
      </c>
      <c r="N61" s="44">
        <f t="shared" si="18"/>
        <v>-1993848</v>
      </c>
      <c r="O61" s="44">
        <v>26609348</v>
      </c>
      <c r="P61" s="44">
        <v>2665266.39</v>
      </c>
      <c r="Q61" s="38">
        <f t="shared" si="13"/>
        <v>0.10016278452219123</v>
      </c>
      <c r="R61" s="44">
        <f t="shared" si="19"/>
        <v>23944081.609999999</v>
      </c>
      <c r="S61" s="44">
        <f>'FY 2009 Exp 01-15-10'!C14</f>
        <v>27673796</v>
      </c>
      <c r="T61" s="44">
        <f>SUM('FY 2009 Exp 01-15-10'!F14:H14)</f>
        <v>5609973.29</v>
      </c>
      <c r="U61" s="38">
        <f t="shared" si="20"/>
        <v>0.20271788120429882</v>
      </c>
      <c r="V61" s="44">
        <f>'FY 2009 Exp 01-15-10'!D14</f>
        <v>70249042</v>
      </c>
      <c r="W61" s="38">
        <f t="shared" si="21"/>
        <v>7.9858360061337202E-2</v>
      </c>
      <c r="X61" s="44">
        <f t="shared" si="22"/>
        <v>22063822.710000001</v>
      </c>
      <c r="Y61" s="44">
        <f>'FY 2008 Exp 01-15-10'!C14</f>
        <v>25864446</v>
      </c>
      <c r="Z61" s="44">
        <f>SUM('FY 2008 Exp 01-15-10'!F14:H14)</f>
        <v>4351706.92</v>
      </c>
      <c r="AA61" s="38">
        <f t="shared" si="23"/>
        <v>0.16825053666334086</v>
      </c>
      <c r="AB61" s="44">
        <f>'FY 2008 Exp 01-15-10'!D14</f>
        <v>40216702</v>
      </c>
      <c r="AC61" s="38">
        <f t="shared" si="24"/>
        <v>0.10820645909751625</v>
      </c>
      <c r="AD61" s="45">
        <f t="shared" si="25"/>
        <v>21512739.079999998</v>
      </c>
    </row>
    <row r="62" spans="1:30" ht="15.75" customHeight="1" thickBot="1">
      <c r="A62" s="139" t="s">
        <v>28</v>
      </c>
      <c r="B62" s="140"/>
      <c r="C62" s="20">
        <f>SUM(C49:C61)</f>
        <v>271926181</v>
      </c>
      <c r="D62" s="20">
        <f>SUM(D49:D61)</f>
        <v>90142134</v>
      </c>
      <c r="E62" s="12">
        <f t="shared" si="10"/>
        <v>0.3314948699257465</v>
      </c>
      <c r="F62" s="13">
        <f t="shared" si="16"/>
        <v>-22160588.75</v>
      </c>
      <c r="G62" s="14">
        <f t="shared" si="17"/>
        <v>67981545.25</v>
      </c>
      <c r="J62" s="30"/>
      <c r="K62" s="43">
        <f>SUM(K49:K61)</f>
        <v>271926181</v>
      </c>
      <c r="L62" s="43">
        <f>SUM(L49:L61)</f>
        <v>90142134</v>
      </c>
      <c r="M62" s="39">
        <f t="shared" si="12"/>
        <v>0.3314948699257465</v>
      </c>
      <c r="N62" s="43">
        <f>SUM(N49:N61)</f>
        <v>181784047</v>
      </c>
      <c r="O62" s="43">
        <f>SUM(O49:O61)</f>
        <v>270182156</v>
      </c>
      <c r="P62" s="43">
        <f>SUM(P49:P61)</f>
        <v>49104022.660000004</v>
      </c>
      <c r="Q62" s="39">
        <f t="shared" si="13"/>
        <v>0.18174413657428953</v>
      </c>
      <c r="R62" s="43">
        <f>SUM(R49:R61)</f>
        <v>221078133.33999997</v>
      </c>
      <c r="S62" s="43">
        <f t="shared" ref="S62:AD62" si="26">SUM(S49:S61)</f>
        <v>269482206</v>
      </c>
      <c r="T62" s="43">
        <f t="shared" si="26"/>
        <v>50381644.359999999</v>
      </c>
      <c r="U62" s="39">
        <f t="shared" si="20"/>
        <v>0.18695722106416185</v>
      </c>
      <c r="V62" s="43">
        <f t="shared" si="26"/>
        <v>345653526</v>
      </c>
      <c r="W62" s="39">
        <f t="shared" si="21"/>
        <v>0.14575764622751164</v>
      </c>
      <c r="X62" s="43">
        <f t="shared" si="26"/>
        <v>219100561.64000002</v>
      </c>
      <c r="Y62" s="43">
        <f t="shared" si="26"/>
        <v>255607673</v>
      </c>
      <c r="Z62" s="43">
        <f t="shared" si="26"/>
        <v>41827577.430000007</v>
      </c>
      <c r="AA62" s="39">
        <f t="shared" si="23"/>
        <v>0.16363975673766259</v>
      </c>
      <c r="AB62" s="43">
        <f t="shared" si="26"/>
        <v>322179771</v>
      </c>
      <c r="AC62" s="39">
        <f t="shared" si="24"/>
        <v>0.12982682711634308</v>
      </c>
      <c r="AD62" s="43">
        <f t="shared" si="26"/>
        <v>213780095.56999999</v>
      </c>
    </row>
    <row r="63" spans="1:30" ht="13.5" thickTop="1">
      <c r="J63" s="79"/>
    </row>
    <row r="64" spans="1:30">
      <c r="J64" s="79"/>
    </row>
    <row r="65" spans="10:10">
      <c r="J65" s="79"/>
    </row>
    <row r="66" spans="10:10">
      <c r="J66" s="79"/>
    </row>
    <row r="67" spans="10:10">
      <c r="J67" s="79"/>
    </row>
    <row r="68" spans="10:10">
      <c r="J68" s="79"/>
    </row>
    <row r="69" spans="10:10">
      <c r="J69" s="79"/>
    </row>
    <row r="70" spans="10:10">
      <c r="J70" s="79"/>
    </row>
    <row r="71" spans="10:10">
      <c r="J71" s="79"/>
    </row>
    <row r="72" spans="10:10">
      <c r="J72" s="79"/>
    </row>
    <row r="73" spans="10:10">
      <c r="J73" s="79"/>
    </row>
    <row r="74" spans="10:10">
      <c r="J74" s="79"/>
    </row>
    <row r="75" spans="10:10">
      <c r="J75" s="79"/>
    </row>
    <row r="76" spans="10:10">
      <c r="J76" s="80"/>
    </row>
    <row r="77" spans="10:10">
      <c r="J77" s="81"/>
    </row>
  </sheetData>
  <mergeCells count="28">
    <mergeCell ref="A23:B23"/>
    <mergeCell ref="A24:B24"/>
    <mergeCell ref="A55:B55"/>
    <mergeCell ref="A48:B48"/>
    <mergeCell ref="A49:B49"/>
    <mergeCell ref="A50:B50"/>
    <mergeCell ref="A51:B51"/>
    <mergeCell ref="B3:D3"/>
    <mergeCell ref="A13:F13"/>
    <mergeCell ref="A16:B16"/>
    <mergeCell ref="A17:B17"/>
    <mergeCell ref="A18:B18"/>
    <mergeCell ref="A60:B60"/>
    <mergeCell ref="A62:B62"/>
    <mergeCell ref="A14:F14"/>
    <mergeCell ref="A46:F46"/>
    <mergeCell ref="A56:B56"/>
    <mergeCell ref="A57:B57"/>
    <mergeCell ref="A58:B58"/>
    <mergeCell ref="A61:B61"/>
    <mergeCell ref="A52:B52"/>
    <mergeCell ref="A53:B53"/>
    <mergeCell ref="A59:B59"/>
    <mergeCell ref="A19:B19"/>
    <mergeCell ref="A20:B20"/>
    <mergeCell ref="A21:B21"/>
    <mergeCell ref="A22:B22"/>
    <mergeCell ref="A54:B54"/>
  </mergeCells>
  <phoneticPr fontId="1" type="noConversion"/>
  <printOptions horizontalCentered="1"/>
  <pageMargins left="0.5" right="0.5" top="0.5" bottom="0.5" header="0.5" footer="0.5"/>
  <pageSetup orientation="portrait" r:id="rId1"/>
  <headerFooter alignWithMargins="0"/>
  <rowBreaks count="1" manualBreakCount="1">
    <brk id="89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7"/>
  <sheetViews>
    <sheetView topLeftCell="F28" workbookViewId="0">
      <selection activeCell="L49" sqref="L49:L61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7.125" style="2" bestFit="1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2.5" style="2" bestFit="1" customWidth="1"/>
    <col min="12" max="12" width="11.125" style="2" bestFit="1" customWidth="1"/>
    <col min="13" max="13" width="10.25" style="2" customWidth="1"/>
    <col min="14" max="14" width="11.5" style="2" customWidth="1"/>
    <col min="15" max="15" width="11.125" style="2" bestFit="1" customWidth="1"/>
    <col min="16" max="16" width="13.25" style="2" bestFit="1" customWidth="1"/>
    <col min="17" max="17" width="10.25" style="2" customWidth="1"/>
    <col min="18" max="18" width="12.5" style="2" bestFit="1" customWidth="1"/>
    <col min="19" max="19" width="12" style="2" customWidth="1"/>
    <col min="20" max="20" width="12.5" style="2" bestFit="1" customWidth="1"/>
    <col min="21" max="21" width="11.125" style="2" bestFit="1" customWidth="1"/>
    <col min="22" max="22" width="11.875" style="2" customWidth="1"/>
    <col min="23" max="23" width="10.75" style="2" customWidth="1"/>
    <col min="24" max="24" width="11.125" style="2" bestFit="1" customWidth="1"/>
    <col min="25" max="25" width="10.75" style="2" customWidth="1"/>
    <col min="26" max="26" width="12.5" style="2" bestFit="1" customWidth="1"/>
    <col min="27" max="16384" width="9" style="2"/>
  </cols>
  <sheetData>
    <row r="1" spans="1:21" ht="15.95" customHeight="1">
      <c r="E1" s="3"/>
      <c r="F1" s="3" t="s">
        <v>23</v>
      </c>
    </row>
    <row r="2" spans="1:21" ht="15.95" customHeight="1">
      <c r="E2" s="3"/>
      <c r="F2" s="3" t="s">
        <v>52</v>
      </c>
    </row>
    <row r="3" spans="1:21" ht="15.95" customHeight="1">
      <c r="B3" s="127" t="s">
        <v>41</v>
      </c>
      <c r="C3" s="127"/>
      <c r="D3" s="127"/>
      <c r="E3" s="3"/>
      <c r="F3" s="3" t="s">
        <v>53</v>
      </c>
    </row>
    <row r="4" spans="1:21" ht="15.95" customHeight="1">
      <c r="E4" s="3"/>
      <c r="F4" s="3" t="s">
        <v>54</v>
      </c>
    </row>
    <row r="5" spans="1:21" ht="15.95" customHeight="1">
      <c r="E5" s="3"/>
      <c r="F5" s="3" t="s">
        <v>24</v>
      </c>
    </row>
    <row r="6" spans="1:21" ht="15.75">
      <c r="A6" s="4"/>
      <c r="B6" s="4"/>
      <c r="C6" s="4"/>
      <c r="D6" s="5"/>
      <c r="E6" s="5"/>
      <c r="F6" s="4"/>
    </row>
    <row r="7" spans="1:21" ht="15.75">
      <c r="D7" s="3"/>
      <c r="E7" s="3"/>
    </row>
    <row r="8" spans="1:21" ht="19.5" customHeight="1">
      <c r="A8" s="6" t="s">
        <v>36</v>
      </c>
      <c r="B8" s="7" t="s">
        <v>37</v>
      </c>
    </row>
    <row r="9" spans="1:21" ht="19.5" customHeight="1">
      <c r="A9" s="6" t="s">
        <v>38</v>
      </c>
      <c r="B9" s="7" t="s">
        <v>93</v>
      </c>
    </row>
    <row r="10" spans="1:21" ht="19.5" customHeight="1">
      <c r="A10" s="6" t="s">
        <v>39</v>
      </c>
      <c r="B10" s="8">
        <v>40283</v>
      </c>
    </row>
    <row r="11" spans="1:21" ht="19.5" customHeight="1">
      <c r="A11" s="6" t="s">
        <v>40</v>
      </c>
      <c r="B11" s="7" t="s">
        <v>133</v>
      </c>
    </row>
    <row r="12" spans="1:21" ht="19.5" customHeight="1">
      <c r="A12" s="6"/>
      <c r="B12" s="7"/>
    </row>
    <row r="13" spans="1:21" ht="50.1" customHeight="1">
      <c r="A13" s="132"/>
      <c r="B13" s="132"/>
      <c r="C13" s="132"/>
      <c r="D13" s="132"/>
      <c r="E13" s="132"/>
      <c r="F13" s="132"/>
    </row>
    <row r="14" spans="1:21" ht="31.5" customHeight="1">
      <c r="A14" s="133" t="s">
        <v>127</v>
      </c>
      <c r="B14" s="133"/>
      <c r="C14" s="133"/>
      <c r="D14" s="133"/>
      <c r="E14" s="133"/>
      <c r="F14" s="133"/>
    </row>
    <row r="15" spans="1:21">
      <c r="K15" s="34"/>
      <c r="L15" s="34"/>
      <c r="M15" s="34"/>
      <c r="N15" s="34"/>
    </row>
    <row r="16" spans="1:21" ht="38.25">
      <c r="A16" s="134"/>
      <c r="B16" s="134"/>
      <c r="C16" s="9" t="s">
        <v>94</v>
      </c>
      <c r="D16" s="9" t="s">
        <v>44</v>
      </c>
      <c r="E16" s="9" t="s">
        <v>25</v>
      </c>
      <c r="F16" s="9" t="s">
        <v>134</v>
      </c>
      <c r="G16" s="10">
        <v>0.5</v>
      </c>
      <c r="H16" s="2" t="s">
        <v>42</v>
      </c>
      <c r="I16" s="10">
        <v>0.5</v>
      </c>
      <c r="K16" s="9" t="s">
        <v>94</v>
      </c>
      <c r="L16" s="9" t="s">
        <v>102</v>
      </c>
      <c r="M16" s="9">
        <v>2010</v>
      </c>
      <c r="N16" s="9" t="s">
        <v>1</v>
      </c>
      <c r="O16" s="9" t="s">
        <v>135</v>
      </c>
      <c r="P16" s="9" t="s">
        <v>106</v>
      </c>
      <c r="Q16" s="9">
        <v>2009</v>
      </c>
      <c r="R16" s="9" t="s">
        <v>104</v>
      </c>
      <c r="S16" s="9" t="s">
        <v>136</v>
      </c>
      <c r="T16" s="9" t="s">
        <v>107</v>
      </c>
      <c r="U16" s="9">
        <v>2008</v>
      </c>
    </row>
    <row r="17" spans="1:21" ht="15.75" customHeight="1">
      <c r="A17" s="131" t="s">
        <v>26</v>
      </c>
      <c r="B17" s="131"/>
      <c r="C17" s="11">
        <f>'FY 2010 Rev as of 01-15-10'!E3</f>
        <v>175939506</v>
      </c>
      <c r="D17" s="11">
        <f>'FY2010 Rev as of 04-15-10'!D3</f>
        <v>170151643.09999999</v>
      </c>
      <c r="E17" s="12">
        <f t="shared" ref="E17:E24" si="0">(D17/C17)</f>
        <v>0.96710310815582257</v>
      </c>
      <c r="F17" s="29">
        <f t="shared" ref="F17:F23" si="1">D17-G17</f>
        <v>82181890.099999994</v>
      </c>
      <c r="G17" s="14">
        <f>C17*0.5</f>
        <v>87969753</v>
      </c>
      <c r="H17" s="15">
        <f t="shared" ref="H17:H23" si="2">C17-D17</f>
        <v>5787862.900000006</v>
      </c>
      <c r="I17" s="10">
        <v>0.5</v>
      </c>
      <c r="J17" s="21" t="str">
        <f>A17</f>
        <v>Current / Delinquent Taxes</v>
      </c>
      <c r="K17" s="11">
        <f t="shared" ref="K17:L23" si="3">C17</f>
        <v>175939506</v>
      </c>
      <c r="L17" s="11">
        <f t="shared" si="3"/>
        <v>170151643.09999999</v>
      </c>
      <c r="M17" s="12">
        <f t="shared" ref="M17:M24" si="4">(L17/K17)</f>
        <v>0.96710310815582257</v>
      </c>
      <c r="N17" s="11">
        <f>'FY 2009 Rev 01-15-10'!E3</f>
        <v>173590951</v>
      </c>
      <c r="O17" s="11">
        <f>SUM('FY 2009 Rev 01-15-10'!F3:K3)</f>
        <v>168785597.69</v>
      </c>
      <c r="P17" s="11">
        <f>'FY 2009 Rev 01-15-10'!D3</f>
        <v>174870775.59</v>
      </c>
      <c r="Q17" s="12">
        <f t="shared" ref="Q17:Q24" si="5">O17/P17</f>
        <v>0.96520185903293965</v>
      </c>
      <c r="R17" s="11">
        <f>'FY 2008 Rev 01-15-10'!E3</f>
        <v>171068428</v>
      </c>
      <c r="S17" s="11">
        <f>SUM('FY 2008 Rev 01-15-10'!F3:K3)</f>
        <v>163946955.67999998</v>
      </c>
      <c r="T17" s="11">
        <f>'FY 2008 Rev 01-15-10'!D3</f>
        <v>171077825.91999999</v>
      </c>
      <c r="U17" s="12">
        <f t="shared" ref="U17:U24" si="6">S17/T17</f>
        <v>0.95831797486522552</v>
      </c>
    </row>
    <row r="18" spans="1:21" ht="15.75" customHeight="1">
      <c r="A18" s="131" t="s">
        <v>95</v>
      </c>
      <c r="B18" s="131"/>
      <c r="C18" s="16">
        <f>'FY 2010 Rev as of 01-15-10'!E6</f>
        <v>335854</v>
      </c>
      <c r="D18" s="28">
        <f>'FY2010 Rev as of 04-15-10'!D6</f>
        <v>139009</v>
      </c>
      <c r="E18" s="12">
        <f>(D18/C18)</f>
        <v>0.41389711005377339</v>
      </c>
      <c r="F18" s="22">
        <f>D18-G18</f>
        <v>-28918</v>
      </c>
      <c r="G18" s="14">
        <f t="shared" ref="G18:G24" si="7">C18*0.5</f>
        <v>167927</v>
      </c>
      <c r="H18" s="15">
        <f t="shared" si="2"/>
        <v>196845</v>
      </c>
      <c r="I18" s="10">
        <v>0.5</v>
      </c>
      <c r="J18" s="21" t="str">
        <f t="shared" ref="J18:J23" si="8">A18</f>
        <v>License / Permits</v>
      </c>
      <c r="K18" s="16">
        <f t="shared" si="3"/>
        <v>335854</v>
      </c>
      <c r="L18" s="28">
        <f t="shared" si="3"/>
        <v>139009</v>
      </c>
      <c r="M18" s="12">
        <f t="shared" si="4"/>
        <v>0.41389711005377339</v>
      </c>
      <c r="N18" s="28">
        <f>'FY 2009 Rev 01-15-10'!E6</f>
        <v>650650</v>
      </c>
      <c r="O18" s="28">
        <f>SUM('FY 2009 Rev 01-15-10'!F6:K6)</f>
        <v>164714.09999999998</v>
      </c>
      <c r="P18" s="28">
        <f>'FY 2009 Rev 01-15-10'!D6</f>
        <v>283457.14</v>
      </c>
      <c r="Q18" s="12">
        <f t="shared" si="5"/>
        <v>0.58108996654661782</v>
      </c>
      <c r="R18" s="28">
        <f>'FY 2008 Rev 01-15-10'!E6</f>
        <v>826700</v>
      </c>
      <c r="S18" s="28">
        <f>SUM('FY 2008 Rev 01-15-10'!F6:K6)</f>
        <v>308515.22000000003</v>
      </c>
      <c r="T18" s="28">
        <f>'FY 2008 Rev 01-15-10'!D6</f>
        <v>653856.6</v>
      </c>
      <c r="U18" s="12">
        <f t="shared" si="6"/>
        <v>0.47183926873262433</v>
      </c>
    </row>
    <row r="19" spans="1:21" ht="15.75" customHeight="1">
      <c r="A19" s="131" t="s">
        <v>51</v>
      </c>
      <c r="B19" s="131"/>
      <c r="C19" s="16">
        <f>'FY 2010 Rev as of 01-15-10'!E13</f>
        <v>10763558</v>
      </c>
      <c r="D19" s="28">
        <f>'FY2010 Rev as of 04-15-10'!D13</f>
        <v>5884221.2199999997</v>
      </c>
      <c r="E19" s="12">
        <f t="shared" si="0"/>
        <v>0.54667993799076475</v>
      </c>
      <c r="F19" s="22">
        <f t="shared" si="1"/>
        <v>502442.21999999974</v>
      </c>
      <c r="G19" s="14">
        <f t="shared" si="7"/>
        <v>5381779</v>
      </c>
      <c r="H19" s="27">
        <f t="shared" si="2"/>
        <v>4879336.78</v>
      </c>
      <c r="I19" s="10">
        <v>0.5</v>
      </c>
      <c r="J19" s="21" t="str">
        <f t="shared" si="8"/>
        <v>Intergovernmental Revenue</v>
      </c>
      <c r="K19" s="16">
        <f t="shared" si="3"/>
        <v>10763558</v>
      </c>
      <c r="L19" s="28">
        <f t="shared" si="3"/>
        <v>5884221.2199999997</v>
      </c>
      <c r="M19" s="12">
        <f t="shared" si="4"/>
        <v>0.54667993799076475</v>
      </c>
      <c r="N19" s="28">
        <f>'FY 2009 Rev 01-15-10'!E13</f>
        <v>9723482</v>
      </c>
      <c r="O19" s="28">
        <f>SUM('FY 2009 Rev 01-15-10'!F13:K13)</f>
        <v>8485324.1699999999</v>
      </c>
      <c r="P19" s="28">
        <f>'FY 2009 Rev 01-15-10'!D13</f>
        <v>18664970.830000002</v>
      </c>
      <c r="Q19" s="12">
        <f t="shared" si="5"/>
        <v>0.45461223846980953</v>
      </c>
      <c r="R19" s="28">
        <f>'FY 2008 Rev 01-15-10'!E12</f>
        <v>14349223</v>
      </c>
      <c r="S19" s="28">
        <f>SUM('FY 2008 Rev 01-15-10'!F12:K12)</f>
        <v>6040941.3100000005</v>
      </c>
      <c r="T19" s="28">
        <f>'FY 2008 Rev 01-15-10'!D12</f>
        <v>16017505.82</v>
      </c>
      <c r="U19" s="12">
        <f t="shared" si="6"/>
        <v>0.37714619104162128</v>
      </c>
    </row>
    <row r="20" spans="1:21" ht="15.75" customHeight="1">
      <c r="A20" s="131" t="s">
        <v>2</v>
      </c>
      <c r="B20" s="131"/>
      <c r="C20" s="16">
        <f>'FY 2010 Rev as of 01-15-10'!E21</f>
        <v>40351226</v>
      </c>
      <c r="D20" s="28">
        <f>'FY2010 Rev as of 04-15-10'!D21</f>
        <v>17625387.649999999</v>
      </c>
      <c r="E20" s="12">
        <f t="shared" si="0"/>
        <v>0.43679930939396983</v>
      </c>
      <c r="F20" s="22">
        <f t="shared" si="1"/>
        <v>-2550225.3500000015</v>
      </c>
      <c r="G20" s="14">
        <f t="shared" si="7"/>
        <v>20175613</v>
      </c>
      <c r="H20" s="27">
        <f t="shared" si="2"/>
        <v>22725838.350000001</v>
      </c>
      <c r="I20" s="10">
        <v>0.5</v>
      </c>
      <c r="J20" s="21" t="str">
        <f t="shared" si="8"/>
        <v>Fees/Charges for Services</v>
      </c>
      <c r="K20" s="16">
        <f t="shared" si="3"/>
        <v>40351226</v>
      </c>
      <c r="L20" s="28">
        <f t="shared" si="3"/>
        <v>17625387.649999999</v>
      </c>
      <c r="M20" s="12">
        <f t="shared" si="4"/>
        <v>0.43679930939396983</v>
      </c>
      <c r="N20" s="28">
        <f>'FY 2009 Rev 01-15-10'!E21</f>
        <v>38656872</v>
      </c>
      <c r="O20" s="28">
        <f>SUM('FY 2009 Rev 01-15-10'!F21:K21)</f>
        <v>18859251.09</v>
      </c>
      <c r="P20" s="28">
        <f>'FY 2009 Rev 01-15-10'!D21</f>
        <v>38824923.710000001</v>
      </c>
      <c r="Q20" s="12">
        <f t="shared" si="5"/>
        <v>0.4857511435403668</v>
      </c>
      <c r="R20" s="28">
        <f>'FY 2008 Rev 01-15-10'!E20</f>
        <v>34135331</v>
      </c>
      <c r="S20" s="28">
        <f>SUM('FY 2008 Rev 01-15-10'!F20:K20)</f>
        <v>19647906.950000003</v>
      </c>
      <c r="T20" s="28">
        <f>'FY 2008 Rev 01-15-10'!D20</f>
        <v>39520826.649999999</v>
      </c>
      <c r="U20" s="12">
        <f t="shared" si="6"/>
        <v>0.49715323831668901</v>
      </c>
    </row>
    <row r="21" spans="1:21" ht="15.75" customHeight="1">
      <c r="A21" s="131" t="s">
        <v>4</v>
      </c>
      <c r="B21" s="131"/>
      <c r="C21" s="16">
        <f>'FY 2010 Rev as of 01-15-10'!E23</f>
        <v>4596375</v>
      </c>
      <c r="D21" s="28">
        <f>'FY2010 Rev as of 04-15-10'!D23</f>
        <v>1700946.93</v>
      </c>
      <c r="E21" s="12">
        <f t="shared" si="0"/>
        <v>0.37006269723423346</v>
      </c>
      <c r="F21" s="22">
        <f t="shared" si="1"/>
        <v>-597240.57000000007</v>
      </c>
      <c r="G21" s="14">
        <f t="shared" si="7"/>
        <v>2298187.5</v>
      </c>
      <c r="H21" s="27">
        <f t="shared" si="2"/>
        <v>2895428.0700000003</v>
      </c>
      <c r="I21" s="10">
        <v>0.5</v>
      </c>
      <c r="J21" s="21" t="str">
        <f t="shared" si="8"/>
        <v>Fines</v>
      </c>
      <c r="K21" s="16">
        <f t="shared" si="3"/>
        <v>4596375</v>
      </c>
      <c r="L21" s="28">
        <f t="shared" si="3"/>
        <v>1700946.93</v>
      </c>
      <c r="M21" s="12">
        <f t="shared" si="4"/>
        <v>0.37006269723423346</v>
      </c>
      <c r="N21" s="28">
        <f>'FY 2009 Rev 01-15-10'!E23</f>
        <v>4675500</v>
      </c>
      <c r="O21" s="28">
        <f>SUM('FY 2009 Rev 01-15-10'!F23:K23)</f>
        <v>2137069.25</v>
      </c>
      <c r="P21" s="28">
        <f>'FY 2009 Rev 01-15-10'!D23</f>
        <v>4484058.21</v>
      </c>
      <c r="Q21" s="12">
        <f t="shared" si="5"/>
        <v>0.47659266448282794</v>
      </c>
      <c r="R21" s="28">
        <f>'FY 2008 Rev 01-15-10'!E22</f>
        <v>5009825</v>
      </c>
      <c r="S21" s="28">
        <f>SUM('FY 2008 Rev 01-15-10'!F22:K22)</f>
        <v>1618276.0899999999</v>
      </c>
      <c r="T21" s="28">
        <f>'FY 2008 Rev 01-15-10'!D22</f>
        <v>5028905.6100000003</v>
      </c>
      <c r="U21" s="12">
        <f t="shared" si="6"/>
        <v>0.32179488252514643</v>
      </c>
    </row>
    <row r="22" spans="1:21" ht="15.75" customHeight="1">
      <c r="A22" s="131" t="s">
        <v>3</v>
      </c>
      <c r="B22" s="131"/>
      <c r="C22" s="16">
        <f>'FY 2010 Rev as of 01-15-10'!E26</f>
        <v>8606066</v>
      </c>
      <c r="D22" s="28">
        <f>'FY2010 Rev as of 04-15-10'!D26</f>
        <v>2195838.4699999997</v>
      </c>
      <c r="E22" s="12">
        <f t="shared" si="0"/>
        <v>0.25515008483551016</v>
      </c>
      <c r="F22" s="22">
        <f t="shared" si="1"/>
        <v>-2107194.5300000003</v>
      </c>
      <c r="G22" s="14">
        <f t="shared" si="7"/>
        <v>4303033</v>
      </c>
      <c r="H22" s="27">
        <f t="shared" si="2"/>
        <v>6410227.5300000003</v>
      </c>
      <c r="I22" s="10">
        <v>0.5</v>
      </c>
      <c r="J22" s="21" t="str">
        <f t="shared" si="8"/>
        <v>Investment Revenue</v>
      </c>
      <c r="K22" s="16">
        <f t="shared" si="3"/>
        <v>8606066</v>
      </c>
      <c r="L22" s="28">
        <f t="shared" si="3"/>
        <v>2195838.4699999997</v>
      </c>
      <c r="M22" s="12">
        <f t="shared" si="4"/>
        <v>0.25515008483551016</v>
      </c>
      <c r="N22" s="28">
        <f>'FY 2009 Rev 01-15-10'!E26</f>
        <v>9130674</v>
      </c>
      <c r="O22" s="28">
        <f>SUM('FY 2009 Rev 01-15-10'!F26:K26)</f>
        <v>4505873.57</v>
      </c>
      <c r="P22" s="28">
        <f>'FY 2009 Rev 01-15-10'!D26</f>
        <v>8875084.7300000004</v>
      </c>
      <c r="Q22" s="12">
        <f t="shared" si="5"/>
        <v>0.50769921719947342</v>
      </c>
      <c r="R22" s="28">
        <f>'FY 2008 Rev 01-15-10'!E25</f>
        <v>13220197</v>
      </c>
      <c r="S22" s="28">
        <f>SUM('FY 2008 Rev 01-15-10'!F25:K25)</f>
        <v>9100403.879999999</v>
      </c>
      <c r="T22" s="28">
        <f>'FY 2008 Rev 01-15-10'!D25</f>
        <v>17328876.469999999</v>
      </c>
      <c r="U22" s="12">
        <f t="shared" si="6"/>
        <v>0.52515833301453496</v>
      </c>
    </row>
    <row r="23" spans="1:21" ht="15.75" customHeight="1" thickBot="1">
      <c r="A23" s="131" t="s">
        <v>27</v>
      </c>
      <c r="B23" s="131"/>
      <c r="C23" s="16">
        <f>'FY 2010 Rev as of 01-15-10'!E30+'FY 2010 Rev as of 01-15-10'!E36+'FY 2010 Rev as of 01-15-10'!E43</f>
        <v>29809162</v>
      </c>
      <c r="D23" s="28">
        <f>'FY2010 Rev as of 04-15-10'!D30+'FY2010 Rev as of 04-15-10'!D36+'FY2010 Rev as of 04-15-10'!D43</f>
        <v>25995831.740000002</v>
      </c>
      <c r="E23" s="12">
        <f t="shared" si="0"/>
        <v>0.87207522774373869</v>
      </c>
      <c r="F23" s="22">
        <f t="shared" si="1"/>
        <v>11091250.740000002</v>
      </c>
      <c r="G23" s="14">
        <f t="shared" si="7"/>
        <v>14904581</v>
      </c>
      <c r="H23" s="27">
        <f t="shared" si="2"/>
        <v>3813330.2599999979</v>
      </c>
      <c r="I23" s="10">
        <v>0.5</v>
      </c>
      <c r="J23" s="21" t="str">
        <f t="shared" si="8"/>
        <v>Miscellaneous</v>
      </c>
      <c r="K23" s="32">
        <f t="shared" si="3"/>
        <v>29809162</v>
      </c>
      <c r="L23" s="33">
        <f t="shared" si="3"/>
        <v>25995831.740000002</v>
      </c>
      <c r="M23" s="38">
        <f t="shared" si="4"/>
        <v>0.87207522774373869</v>
      </c>
      <c r="N23" s="33">
        <f>'FY 2009 Rev 01-15-10'!E30+'FY 2009 Rev 01-15-10'!E36+'FY 2009 Rev 01-15-10'!E43</f>
        <v>27526735</v>
      </c>
      <c r="O23" s="33">
        <f>SUM('FY 2009 Rev 01-15-10'!F30:K30,'FY 2009 Rev 01-15-10'!F36:K36,'FY 2009 Rev 01-15-10'!F43:K43)</f>
        <v>26278938.57</v>
      </c>
      <c r="P23" s="33">
        <f>'FY 2009 Rev 01-15-10'!D30+'FY 2009 Rev 01-15-10'!D36+'FY 2009 Rev 01-15-10'!D43</f>
        <v>134307912.17000002</v>
      </c>
      <c r="Q23" s="38">
        <f t="shared" si="5"/>
        <v>0.19566187982088112</v>
      </c>
      <c r="R23" s="33">
        <f>'FY 2008 Rev 01-15-10'!E29+'FY 2008 Rev 01-15-10'!E35+'FY 2008 Rev 01-15-10'!E41</f>
        <v>26955037</v>
      </c>
      <c r="S23" s="33">
        <f>SUM('FY 2008 Rev 01-15-10'!F29:K29,'FY 2008 Rev 01-15-10'!F35:K35,'FY 2008 Rev 01-15-10'!F41:K41)</f>
        <v>24482720.57</v>
      </c>
      <c r="T23" s="33">
        <f>'FY 2008 Rev 01-15-10'!D29+'FY 2008 Rev 01-15-10'!D35+'FY 2008 Rev 01-15-10'!D41</f>
        <v>103901511.08000001</v>
      </c>
      <c r="U23" s="38">
        <f t="shared" si="6"/>
        <v>0.23563392212024023</v>
      </c>
    </row>
    <row r="24" spans="1:21" ht="15.75" customHeight="1" thickBot="1">
      <c r="A24" s="137" t="s">
        <v>28</v>
      </c>
      <c r="B24" s="137"/>
      <c r="C24" s="11">
        <f>SUM(C17:C23)</f>
        <v>270401747</v>
      </c>
      <c r="D24" s="11">
        <f>SUM(D17:D23)</f>
        <v>223692878.11000001</v>
      </c>
      <c r="E24" s="12">
        <f t="shared" si="0"/>
        <v>0.82726121628940519</v>
      </c>
      <c r="F24" s="17">
        <f>SUM(F17:F23)</f>
        <v>88492004.610000014</v>
      </c>
      <c r="G24" s="14">
        <f t="shared" si="7"/>
        <v>135200873.5</v>
      </c>
      <c r="H24" s="27"/>
      <c r="J24" s="21"/>
      <c r="K24" s="31">
        <f>SUM(K17:K23)</f>
        <v>270401747</v>
      </c>
      <c r="L24" s="31">
        <f>SUM(L17:L23)</f>
        <v>223692878.11000001</v>
      </c>
      <c r="M24" s="39">
        <f t="shared" si="4"/>
        <v>0.82726121628940519</v>
      </c>
      <c r="N24" s="31">
        <f>SUM(N17:N23)</f>
        <v>263954864</v>
      </c>
      <c r="O24" s="31">
        <f>SUM(O17:O23)</f>
        <v>229216768.43999997</v>
      </c>
      <c r="P24" s="31">
        <f>SUM(P17:P23)</f>
        <v>380311182.38</v>
      </c>
      <c r="Q24" s="39">
        <f t="shared" si="5"/>
        <v>0.60270846364693731</v>
      </c>
      <c r="R24" s="31">
        <f>SUM(R17:R23)</f>
        <v>265564741</v>
      </c>
      <c r="S24" s="31">
        <f>SUM(S17:S23)</f>
        <v>225145719.69999996</v>
      </c>
      <c r="T24" s="31">
        <f>SUM(T17:T23)</f>
        <v>353529308.14999998</v>
      </c>
      <c r="U24" s="39">
        <f t="shared" si="6"/>
        <v>0.63685164004697514</v>
      </c>
    </row>
    <row r="25" spans="1:21" ht="22.5" customHeight="1" thickTop="1">
      <c r="J25" s="21"/>
      <c r="K25" s="26"/>
    </row>
    <row r="26" spans="1:21">
      <c r="J26" s="21"/>
      <c r="K26" s="26"/>
    </row>
    <row r="40" spans="1:26">
      <c r="J40" s="35"/>
      <c r="K40" s="35"/>
    </row>
    <row r="41" spans="1:26">
      <c r="J41" s="35"/>
      <c r="K41" s="35"/>
    </row>
    <row r="42" spans="1:26">
      <c r="J42" s="35"/>
      <c r="K42" s="35"/>
    </row>
    <row r="43" spans="1:26">
      <c r="J43" s="35"/>
      <c r="K43" s="35"/>
    </row>
    <row r="44" spans="1:26">
      <c r="J44" s="35"/>
      <c r="K44" s="35"/>
    </row>
    <row r="45" spans="1:26">
      <c r="J45" s="35"/>
      <c r="K45" s="35"/>
    </row>
    <row r="46" spans="1:26" ht="33" customHeight="1">
      <c r="A46" s="133" t="s">
        <v>130</v>
      </c>
      <c r="B46" s="133"/>
      <c r="C46" s="133"/>
      <c r="D46" s="133"/>
      <c r="E46" s="133"/>
      <c r="F46" s="133"/>
      <c r="J46" s="35"/>
      <c r="K46" s="35"/>
    </row>
    <row r="47" spans="1:26" ht="12" customHeight="1">
      <c r="B47" s="18"/>
      <c r="C47" s="18"/>
      <c r="D47" s="18"/>
      <c r="E47" s="18"/>
      <c r="J47" s="35"/>
      <c r="K47" s="35"/>
    </row>
    <row r="48" spans="1:26" ht="36" customHeight="1">
      <c r="A48" s="138"/>
      <c r="B48" s="138"/>
      <c r="C48" s="19" t="s">
        <v>94</v>
      </c>
      <c r="D48" s="19" t="s">
        <v>45</v>
      </c>
      <c r="E48" s="19" t="s">
        <v>25</v>
      </c>
      <c r="F48" s="9" t="s">
        <v>134</v>
      </c>
      <c r="G48" s="10">
        <v>0.5</v>
      </c>
      <c r="H48" s="2" t="s">
        <v>43</v>
      </c>
      <c r="K48" s="40" t="s">
        <v>94</v>
      </c>
      <c r="L48" s="36" t="s">
        <v>108</v>
      </c>
      <c r="M48" s="37">
        <v>2010</v>
      </c>
      <c r="N48" s="36" t="s">
        <v>109</v>
      </c>
      <c r="O48" s="36" t="s">
        <v>1</v>
      </c>
      <c r="P48" s="36" t="s">
        <v>137</v>
      </c>
      <c r="Q48" s="37">
        <v>2009</v>
      </c>
      <c r="R48" s="36" t="s">
        <v>111</v>
      </c>
      <c r="S48" s="36">
        <v>2009</v>
      </c>
      <c r="T48" s="36" t="s">
        <v>112</v>
      </c>
      <c r="U48" s="36" t="s">
        <v>104</v>
      </c>
      <c r="V48" s="36" t="s">
        <v>138</v>
      </c>
      <c r="W48" s="37">
        <v>2008</v>
      </c>
      <c r="X48" s="36" t="s">
        <v>114</v>
      </c>
      <c r="Y48" s="36">
        <v>2008</v>
      </c>
      <c r="Z48" s="36" t="s">
        <v>115</v>
      </c>
    </row>
    <row r="49" spans="1:26" ht="15.75" customHeight="1">
      <c r="A49" s="135" t="s">
        <v>29</v>
      </c>
      <c r="B49" s="136"/>
      <c r="C49" s="11">
        <f>'FY 2010 Exp as of 01-15-10'!C2</f>
        <v>346531</v>
      </c>
      <c r="D49" s="11">
        <f>'FY2010 Exp as of 4-15-10'!E2</f>
        <v>147348.93</v>
      </c>
      <c r="E49" s="12">
        <f t="shared" ref="E49:E62" si="9">(D49/C49)</f>
        <v>0.42521139522870965</v>
      </c>
      <c r="F49" s="11">
        <f>+G49-D49</f>
        <v>25916.570000000007</v>
      </c>
      <c r="G49" s="23">
        <f>C49*0.5</f>
        <v>173265.5</v>
      </c>
      <c r="H49" s="24">
        <f t="shared" ref="H49:H61" si="10">C49-D49</f>
        <v>199182.07</v>
      </c>
      <c r="I49" s="1">
        <v>0.5</v>
      </c>
      <c r="J49" s="35" t="s">
        <v>29</v>
      </c>
      <c r="K49" s="13">
        <f>C49</f>
        <v>346531</v>
      </c>
      <c r="L49" s="13">
        <f>D49</f>
        <v>147348.93</v>
      </c>
      <c r="M49" s="41">
        <f t="shared" ref="M49:M62" si="11">(L49/K49)</f>
        <v>0.42521139522870965</v>
      </c>
      <c r="N49" s="13">
        <f>K49-L49</f>
        <v>199182.07</v>
      </c>
      <c r="O49" s="13">
        <f>'FY 2009 Exp 01-15-10'!C2</f>
        <v>351630</v>
      </c>
      <c r="P49" s="13">
        <f>SUM('FY 2009 Exp 01-15-10'!F2:K2)</f>
        <v>162798.17000000001</v>
      </c>
      <c r="Q49" s="41">
        <f>P49/O49</f>
        <v>0.46298145778232808</v>
      </c>
      <c r="R49" s="13">
        <f>'FY 2009 Exp 01-15-10'!D2</f>
        <v>525313</v>
      </c>
      <c r="S49" s="41">
        <f>P49/R49</f>
        <v>0.30990698878573347</v>
      </c>
      <c r="T49" s="13">
        <f>O49-P49</f>
        <v>188831.83</v>
      </c>
      <c r="U49" s="13">
        <f>'FY 2008 Exp 01-15-10'!C2</f>
        <v>370277</v>
      </c>
      <c r="V49" s="13">
        <f>SUM('FY 2008 Exp 01-15-10'!F2:K2)</f>
        <v>160037.9</v>
      </c>
      <c r="W49" s="41">
        <f>V49/U49</f>
        <v>0.43221129046632656</v>
      </c>
      <c r="X49" s="13">
        <f>'FY 2008 Exp 01-15-10'!D2</f>
        <v>727556</v>
      </c>
      <c r="Y49" s="41">
        <f>V49/X49</f>
        <v>0.21996643557334417</v>
      </c>
      <c r="Z49" s="13">
        <f>U49-V49</f>
        <v>210239.1</v>
      </c>
    </row>
    <row r="50" spans="1:26" ht="15.75" customHeight="1">
      <c r="A50" s="135" t="s">
        <v>116</v>
      </c>
      <c r="B50" s="136"/>
      <c r="C50" s="28">
        <f>'FY 2010 Exp as of 01-15-10'!C3</f>
        <v>1078918</v>
      </c>
      <c r="D50" s="28">
        <f>'FY2010 Exp as of 4-15-10'!E3</f>
        <v>1525134.47</v>
      </c>
      <c r="E50" s="12">
        <f t="shared" si="9"/>
        <v>1.4135777417746298</v>
      </c>
      <c r="F50" s="28">
        <f t="shared" ref="F50:F62" si="12">+G50-D50</f>
        <v>-985675.47</v>
      </c>
      <c r="G50" s="23">
        <f t="shared" ref="G50:G62" si="13">C50*0.5</f>
        <v>539459</v>
      </c>
      <c r="H50" s="25">
        <v>0</v>
      </c>
      <c r="I50" s="1">
        <v>0.5</v>
      </c>
      <c r="J50" s="35" t="s">
        <v>116</v>
      </c>
      <c r="K50" s="42">
        <f>C50</f>
        <v>1078918</v>
      </c>
      <c r="L50" s="42">
        <f t="shared" ref="L50:L61" si="14">D50</f>
        <v>1525134.47</v>
      </c>
      <c r="M50" s="41">
        <f t="shared" si="11"/>
        <v>1.4135777417746298</v>
      </c>
      <c r="N50" s="42">
        <f t="shared" ref="N50:N61" si="15">K50-L50</f>
        <v>-446216.47</v>
      </c>
      <c r="O50" s="42">
        <f>'FY 2009 Exp 01-15-10'!C3</f>
        <v>1209220</v>
      </c>
      <c r="P50" s="42">
        <f>SUM('FY 2009 Exp 01-15-10'!F3:K3)</f>
        <v>1791530.07</v>
      </c>
      <c r="Q50" s="41">
        <f t="shared" ref="Q50:Q62" si="16">P50/O50</f>
        <v>1.4815584178230596</v>
      </c>
      <c r="R50" s="42">
        <f>'FY 2009 Exp 01-15-10'!D3</f>
        <v>1275791</v>
      </c>
      <c r="S50" s="41">
        <f t="shared" ref="S50:S62" si="17">P50/R50</f>
        <v>1.4042504375716713</v>
      </c>
      <c r="T50" s="42">
        <f t="shared" ref="T50:T61" si="18">O50-P50</f>
        <v>-582310.07000000007</v>
      </c>
      <c r="U50" s="42">
        <f>'FY 2008 Exp 01-15-10'!C3</f>
        <v>1199159</v>
      </c>
      <c r="V50" s="42">
        <f>SUM('FY 2008 Exp 01-15-10'!F3:K3)</f>
        <v>1219724.54</v>
      </c>
      <c r="W50" s="41">
        <f t="shared" ref="W50:W62" si="19">V50/U50</f>
        <v>1.0171499692701302</v>
      </c>
      <c r="X50" s="42">
        <f>'FY 2008 Exp 01-15-10'!D3</f>
        <v>1238216</v>
      </c>
      <c r="Y50" s="41">
        <f t="shared" ref="Y50:Y62" si="20">V50/X50</f>
        <v>0.98506604663483599</v>
      </c>
      <c r="Z50" s="13">
        <f t="shared" ref="Z50:Z61" si="21">U50-V50</f>
        <v>-20565.540000000037</v>
      </c>
    </row>
    <row r="51" spans="1:26" ht="15.75" customHeight="1">
      <c r="A51" s="135" t="s">
        <v>131</v>
      </c>
      <c r="B51" s="136"/>
      <c r="C51" s="28">
        <f>'FY 2010 Exp as of 01-15-10'!C4</f>
        <v>43665123</v>
      </c>
      <c r="D51" s="28">
        <f>'FY2010 Exp as of 4-15-10'!E4</f>
        <v>35053226.109999999</v>
      </c>
      <c r="E51" s="12">
        <f t="shared" si="9"/>
        <v>0.80277401508751045</v>
      </c>
      <c r="F51" s="28">
        <f t="shared" si="12"/>
        <v>-13220664.609999999</v>
      </c>
      <c r="G51" s="23">
        <f t="shared" si="13"/>
        <v>21832561.5</v>
      </c>
      <c r="H51" s="25">
        <f t="shared" si="10"/>
        <v>8611896.8900000006</v>
      </c>
      <c r="I51" s="1">
        <v>0.5</v>
      </c>
      <c r="J51" s="35" t="s">
        <v>131</v>
      </c>
      <c r="K51" s="42">
        <f t="shared" ref="K51:K61" si="22">C51</f>
        <v>43665123</v>
      </c>
      <c r="L51" s="42">
        <f t="shared" si="14"/>
        <v>35053226.109999999</v>
      </c>
      <c r="M51" s="41">
        <f t="shared" si="11"/>
        <v>0.80277401508751045</v>
      </c>
      <c r="N51" s="42">
        <f t="shared" si="15"/>
        <v>8611896.8900000006</v>
      </c>
      <c r="O51" s="42">
        <f>'FY 2009 Exp 01-15-10'!C4</f>
        <v>42789548</v>
      </c>
      <c r="P51" s="42">
        <f>SUM('FY 2009 Exp 01-15-10'!F4:K4)</f>
        <v>34011444.530000001</v>
      </c>
      <c r="Q51" s="41">
        <f t="shared" si="16"/>
        <v>0.79485402673568795</v>
      </c>
      <c r="R51" s="42">
        <f>'FY 2009 Exp 01-15-10'!D4</f>
        <v>47916306</v>
      </c>
      <c r="S51" s="41">
        <f t="shared" si="17"/>
        <v>0.70980940246103286</v>
      </c>
      <c r="T51" s="42">
        <f t="shared" si="18"/>
        <v>8778103.4699999988</v>
      </c>
      <c r="U51" s="42">
        <f>'FY 2008 Exp 01-15-10'!C4</f>
        <v>39688692</v>
      </c>
      <c r="V51" s="42">
        <f>SUM('FY 2008 Exp 01-15-10'!F4:K4)</f>
        <v>31604478.079999998</v>
      </c>
      <c r="W51" s="41">
        <f t="shared" si="19"/>
        <v>0.79630938908241167</v>
      </c>
      <c r="X51" s="42">
        <f>'FY 2008 Exp 01-15-10'!D4</f>
        <v>50299627</v>
      </c>
      <c r="Y51" s="41">
        <f t="shared" si="20"/>
        <v>0.6283243030808161</v>
      </c>
      <c r="Z51" s="13">
        <f t="shared" si="21"/>
        <v>8084213.9200000018</v>
      </c>
    </row>
    <row r="52" spans="1:26" ht="15.75" customHeight="1">
      <c r="A52" s="135" t="s">
        <v>30</v>
      </c>
      <c r="B52" s="136"/>
      <c r="C52" s="28">
        <f>'FY 2010 Exp as of 01-15-10'!C5</f>
        <v>3263326</v>
      </c>
      <c r="D52" s="28">
        <f>'FY2010 Exp as of 4-15-10'!E5</f>
        <v>1757717.35</v>
      </c>
      <c r="E52" s="12">
        <f t="shared" si="9"/>
        <v>0.53862756892814267</v>
      </c>
      <c r="F52" s="28">
        <f t="shared" si="12"/>
        <v>-126054.35000000009</v>
      </c>
      <c r="G52" s="23">
        <f t="shared" si="13"/>
        <v>1631663</v>
      </c>
      <c r="H52" s="25">
        <f t="shared" si="10"/>
        <v>1505608.65</v>
      </c>
      <c r="I52" s="1">
        <v>0.5</v>
      </c>
      <c r="J52" s="35" t="s">
        <v>30</v>
      </c>
      <c r="K52" s="42">
        <f t="shared" si="22"/>
        <v>3263326</v>
      </c>
      <c r="L52" s="42">
        <f t="shared" si="14"/>
        <v>1757717.35</v>
      </c>
      <c r="M52" s="41">
        <f t="shared" si="11"/>
        <v>0.53862756892814267</v>
      </c>
      <c r="N52" s="42">
        <f t="shared" si="15"/>
        <v>1505608.65</v>
      </c>
      <c r="O52" s="42">
        <f>'FY 2009 Exp 01-15-10'!C5</f>
        <v>3360551</v>
      </c>
      <c r="P52" s="42">
        <f>SUM('FY 2009 Exp 01-15-10'!F5:K5)</f>
        <v>1544489.4300000002</v>
      </c>
      <c r="Q52" s="41">
        <f t="shared" si="16"/>
        <v>0.45959410525238276</v>
      </c>
      <c r="R52" s="42">
        <f>'FY 2009 Exp 01-15-10'!D5</f>
        <v>3318332</v>
      </c>
      <c r="S52" s="41">
        <f t="shared" si="17"/>
        <v>0.4654415019353097</v>
      </c>
      <c r="T52" s="42">
        <f t="shared" si="18"/>
        <v>1816061.5699999998</v>
      </c>
      <c r="U52" s="42">
        <f>'FY 2008 Exp 01-15-10'!C5</f>
        <v>2433415</v>
      </c>
      <c r="V52" s="42">
        <f>SUM('FY 2008 Exp 01-15-10'!F5:K5)</f>
        <v>1381115.9300000002</v>
      </c>
      <c r="W52" s="41">
        <f t="shared" si="19"/>
        <v>0.56756284069918206</v>
      </c>
      <c r="X52" s="42">
        <f>'FY 2008 Exp 01-15-10'!D5</f>
        <v>3139760</v>
      </c>
      <c r="Y52" s="41">
        <f t="shared" si="20"/>
        <v>0.43987945893953684</v>
      </c>
      <c r="Z52" s="13">
        <f t="shared" si="21"/>
        <v>1052299.0699999998</v>
      </c>
    </row>
    <row r="53" spans="1:26" ht="15.75" customHeight="1">
      <c r="A53" s="135" t="s">
        <v>15</v>
      </c>
      <c r="B53" s="136"/>
      <c r="C53" s="28">
        <f>'FY 2010 Exp as of 01-15-10'!C6</f>
        <v>10604579</v>
      </c>
      <c r="D53" s="28">
        <f>'FY2010 Exp as of 4-15-10'!E6</f>
        <v>5580579.9500000002</v>
      </c>
      <c r="E53" s="12">
        <f t="shared" si="9"/>
        <v>0.52624247978161132</v>
      </c>
      <c r="F53" s="28">
        <f t="shared" si="12"/>
        <v>-278290.45000000019</v>
      </c>
      <c r="G53" s="23">
        <f t="shared" si="13"/>
        <v>5302289.5</v>
      </c>
      <c r="H53" s="25">
        <f t="shared" si="10"/>
        <v>5023999.05</v>
      </c>
      <c r="I53" s="1">
        <v>0.5</v>
      </c>
      <c r="J53" s="35" t="s">
        <v>15</v>
      </c>
      <c r="K53" s="42">
        <f t="shared" si="22"/>
        <v>10604579</v>
      </c>
      <c r="L53" s="42">
        <f t="shared" si="14"/>
        <v>5580579.9500000002</v>
      </c>
      <c r="M53" s="41">
        <f t="shared" si="11"/>
        <v>0.52624247978161132</v>
      </c>
      <c r="N53" s="42">
        <f t="shared" si="15"/>
        <v>5023999.05</v>
      </c>
      <c r="O53" s="42">
        <f>'FY 2009 Exp 01-15-10'!C6</f>
        <v>10906229</v>
      </c>
      <c r="P53" s="42">
        <f>SUM('FY 2009 Exp 01-15-10'!F6:K6)</f>
        <v>5148824.4700000007</v>
      </c>
      <c r="Q53" s="41">
        <f t="shared" si="16"/>
        <v>0.47209942776737962</v>
      </c>
      <c r="R53" s="42">
        <f>'FY 2009 Exp 01-15-10'!D6</f>
        <v>11732575</v>
      </c>
      <c r="S53" s="41">
        <f t="shared" si="17"/>
        <v>0.43884863041574423</v>
      </c>
      <c r="T53" s="42">
        <f t="shared" si="18"/>
        <v>5757404.5299999993</v>
      </c>
      <c r="U53" s="42">
        <f>'FY 2008 Exp 01-15-10'!C6</f>
        <v>9925189</v>
      </c>
      <c r="V53" s="42">
        <f>SUM('FY 2008 Exp 01-15-10'!F6:K6)</f>
        <v>5101042.6500000004</v>
      </c>
      <c r="W53" s="41">
        <f t="shared" si="19"/>
        <v>0.51394917013670982</v>
      </c>
      <c r="X53" s="42">
        <f>'FY 2008 Exp 01-15-10'!D6</f>
        <v>10236244</v>
      </c>
      <c r="Y53" s="41">
        <f t="shared" si="20"/>
        <v>0.49833148271963823</v>
      </c>
      <c r="Z53" s="13">
        <f t="shared" si="21"/>
        <v>4824146.3499999996</v>
      </c>
    </row>
    <row r="54" spans="1:26" ht="15.75" customHeight="1">
      <c r="A54" s="135" t="s">
        <v>14</v>
      </c>
      <c r="B54" s="136"/>
      <c r="C54" s="28">
        <f>'FY 2010 Exp as of 01-15-10'!C7</f>
        <v>40714461</v>
      </c>
      <c r="D54" s="28">
        <f>'FY2010 Exp as of 4-15-10'!E7</f>
        <v>17620089.010000002</v>
      </c>
      <c r="E54" s="12">
        <f t="shared" si="9"/>
        <v>0.43277225283665188</v>
      </c>
      <c r="F54" s="28">
        <f t="shared" si="12"/>
        <v>2737141.4899999984</v>
      </c>
      <c r="G54" s="23">
        <f t="shared" si="13"/>
        <v>20357230.5</v>
      </c>
      <c r="H54" s="25">
        <f t="shared" si="10"/>
        <v>23094371.989999998</v>
      </c>
      <c r="I54" s="1">
        <v>0.5</v>
      </c>
      <c r="J54" s="35" t="s">
        <v>14</v>
      </c>
      <c r="K54" s="42">
        <f t="shared" si="22"/>
        <v>40714461</v>
      </c>
      <c r="L54" s="42">
        <f t="shared" si="14"/>
        <v>17620089.010000002</v>
      </c>
      <c r="M54" s="41">
        <f t="shared" si="11"/>
        <v>0.43277225283665188</v>
      </c>
      <c r="N54" s="42">
        <f t="shared" si="15"/>
        <v>23094371.989999998</v>
      </c>
      <c r="O54" s="42">
        <f>'FY 2009 Exp 01-15-10'!C7</f>
        <v>39128938</v>
      </c>
      <c r="P54" s="42">
        <f>SUM('FY 2009 Exp 01-15-10'!F7:K7)</f>
        <v>15298771.359999999</v>
      </c>
      <c r="Q54" s="41">
        <f t="shared" si="16"/>
        <v>0.39098355697770276</v>
      </c>
      <c r="R54" s="42">
        <f>'FY 2009 Exp 01-15-10'!D7</f>
        <v>41658952</v>
      </c>
      <c r="S54" s="41">
        <f t="shared" si="17"/>
        <v>0.36723850758415622</v>
      </c>
      <c r="T54" s="42">
        <f t="shared" si="18"/>
        <v>23830166.640000001</v>
      </c>
      <c r="U54" s="42">
        <f>'FY 2008 Exp 01-15-10'!C7</f>
        <v>37639150</v>
      </c>
      <c r="V54" s="42">
        <f>SUM('FY 2008 Exp 01-15-10'!F7:K7)</f>
        <v>11355359.810000001</v>
      </c>
      <c r="W54" s="41">
        <f t="shared" si="19"/>
        <v>0.30169012344859009</v>
      </c>
      <c r="X54" s="42">
        <f>'FY 2008 Exp 01-15-10'!D7</f>
        <v>36096874</v>
      </c>
      <c r="Y54" s="41">
        <f t="shared" si="20"/>
        <v>0.31458014369886989</v>
      </c>
      <c r="Z54" s="13">
        <f t="shared" si="21"/>
        <v>26283790.189999998</v>
      </c>
    </row>
    <row r="55" spans="1:26" ht="15.75" customHeight="1">
      <c r="A55" s="135" t="s">
        <v>117</v>
      </c>
      <c r="B55" s="136"/>
      <c r="C55" s="28">
        <f>'FY 2010 Exp as of 01-15-10'!C8</f>
        <v>17404071</v>
      </c>
      <c r="D55" s="28">
        <f>'FY2010 Exp as of 4-15-10'!E8</f>
        <v>9665369.1099999994</v>
      </c>
      <c r="E55" s="12">
        <f t="shared" si="9"/>
        <v>0.55535105033759047</v>
      </c>
      <c r="F55" s="28">
        <f t="shared" si="12"/>
        <v>-963333.6099999994</v>
      </c>
      <c r="G55" s="23">
        <f t="shared" si="13"/>
        <v>8702035.5</v>
      </c>
      <c r="H55" s="25">
        <f t="shared" si="10"/>
        <v>7738701.8900000006</v>
      </c>
      <c r="I55" s="1">
        <v>0.5</v>
      </c>
      <c r="J55" s="35" t="s">
        <v>117</v>
      </c>
      <c r="K55" s="42">
        <f t="shared" si="22"/>
        <v>17404071</v>
      </c>
      <c r="L55" s="42">
        <f t="shared" si="14"/>
        <v>9665369.1099999994</v>
      </c>
      <c r="M55" s="41">
        <f t="shared" si="11"/>
        <v>0.55535105033759047</v>
      </c>
      <c r="N55" s="42">
        <f t="shared" si="15"/>
        <v>7738701.8900000006</v>
      </c>
      <c r="O55" s="42">
        <f>'FY 2009 Exp 01-15-10'!C8</f>
        <v>17368061</v>
      </c>
      <c r="P55" s="42">
        <f>SUM('FY 2009 Exp 01-15-10'!F8:K8)</f>
        <v>8576793.1199999992</v>
      </c>
      <c r="Q55" s="41">
        <f t="shared" si="16"/>
        <v>0.49382559860884867</v>
      </c>
      <c r="R55" s="42">
        <f>'FY 2009 Exp 01-15-10'!D8</f>
        <v>17937753</v>
      </c>
      <c r="S55" s="41">
        <f t="shared" si="17"/>
        <v>0.47814200139783392</v>
      </c>
      <c r="T55" s="42">
        <f t="shared" si="18"/>
        <v>8791267.8800000008</v>
      </c>
      <c r="U55" s="42">
        <f>'FY 2008 Exp 01-15-10'!C8</f>
        <v>17183257</v>
      </c>
      <c r="V55" s="42">
        <f>SUM('FY 2008 Exp 01-15-10'!F8:K8)</f>
        <v>7080681.1200000001</v>
      </c>
      <c r="W55" s="41">
        <f t="shared" si="19"/>
        <v>0.41206862703618996</v>
      </c>
      <c r="X55" s="42">
        <f>'FY 2008 Exp 01-15-10'!D8</f>
        <v>15836617</v>
      </c>
      <c r="Y55" s="41">
        <f t="shared" si="20"/>
        <v>0.44710818731045904</v>
      </c>
      <c r="Z55" s="13">
        <f t="shared" si="21"/>
        <v>10102575.879999999</v>
      </c>
    </row>
    <row r="56" spans="1:26" ht="15.75" customHeight="1">
      <c r="A56" s="135" t="s">
        <v>31</v>
      </c>
      <c r="B56" s="136"/>
      <c r="C56" s="28">
        <f>'FY 2010 Exp as of 01-15-10'!C9</f>
        <v>17413314</v>
      </c>
      <c r="D56" s="28">
        <f>'FY2010 Exp as of 4-15-10'!E9</f>
        <v>8874392.9399999995</v>
      </c>
      <c r="E56" s="12">
        <f t="shared" si="9"/>
        <v>0.50963262593208847</v>
      </c>
      <c r="F56" s="28">
        <f t="shared" si="12"/>
        <v>-167735.93999999948</v>
      </c>
      <c r="G56" s="23">
        <f t="shared" si="13"/>
        <v>8706657</v>
      </c>
      <c r="H56" s="25">
        <f t="shared" si="10"/>
        <v>8538921.0600000005</v>
      </c>
      <c r="I56" s="1">
        <v>0.5</v>
      </c>
      <c r="J56" s="35" t="s">
        <v>31</v>
      </c>
      <c r="K56" s="42">
        <f t="shared" si="22"/>
        <v>17413314</v>
      </c>
      <c r="L56" s="42">
        <f t="shared" si="14"/>
        <v>8874392.9399999995</v>
      </c>
      <c r="M56" s="41">
        <f t="shared" si="11"/>
        <v>0.50963262593208847</v>
      </c>
      <c r="N56" s="42">
        <f t="shared" si="15"/>
        <v>8538921.0600000005</v>
      </c>
      <c r="O56" s="42">
        <f>'FY 2009 Exp 01-15-10'!C9</f>
        <v>17278014</v>
      </c>
      <c r="P56" s="42">
        <f>SUM('FY 2009 Exp 01-15-10'!F9:K9)</f>
        <v>8310298.7700000005</v>
      </c>
      <c r="Q56" s="41">
        <f t="shared" si="16"/>
        <v>0.48097534647211193</v>
      </c>
      <c r="R56" s="42">
        <f>'FY 2009 Exp 01-15-10'!D9</f>
        <v>17898937</v>
      </c>
      <c r="S56" s="41">
        <f t="shared" si="17"/>
        <v>0.46429007320378862</v>
      </c>
      <c r="T56" s="42">
        <f t="shared" si="18"/>
        <v>8967715.2300000004</v>
      </c>
      <c r="U56" s="42">
        <f>'FY 2008 Exp 01-15-10'!C9</f>
        <v>16892588</v>
      </c>
      <c r="V56" s="42">
        <f>SUM('FY 2008 Exp 01-15-10'!F9:K9)</f>
        <v>7887350.6899999995</v>
      </c>
      <c r="W56" s="41">
        <f t="shared" si="19"/>
        <v>0.46691191959455824</v>
      </c>
      <c r="X56" s="42">
        <f>'FY 2008 Exp 01-15-10'!D9</f>
        <v>17511804</v>
      </c>
      <c r="Y56" s="41">
        <f t="shared" si="20"/>
        <v>0.45040195116391202</v>
      </c>
      <c r="Z56" s="13">
        <f t="shared" si="21"/>
        <v>9005237.3100000005</v>
      </c>
    </row>
    <row r="57" spans="1:26" ht="15.75" customHeight="1">
      <c r="A57" s="135" t="s">
        <v>32</v>
      </c>
      <c r="B57" s="136"/>
      <c r="C57" s="28">
        <f>'FY 2010 Exp as of 01-15-10'!C10</f>
        <v>10775827</v>
      </c>
      <c r="D57" s="28">
        <f>'FY2010 Exp as of 4-15-10'!E10</f>
        <v>5789049.0099999998</v>
      </c>
      <c r="E57" s="12">
        <f t="shared" si="9"/>
        <v>0.53722549647465567</v>
      </c>
      <c r="F57" s="28">
        <f t="shared" si="12"/>
        <v>-401135.50999999978</v>
      </c>
      <c r="G57" s="23">
        <f t="shared" si="13"/>
        <v>5387913.5</v>
      </c>
      <c r="H57" s="25">
        <f t="shared" si="10"/>
        <v>4986777.99</v>
      </c>
      <c r="I57" s="1">
        <v>0.5</v>
      </c>
      <c r="J57" s="35" t="s">
        <v>32</v>
      </c>
      <c r="K57" s="42">
        <f t="shared" si="22"/>
        <v>10775827</v>
      </c>
      <c r="L57" s="42">
        <f t="shared" si="14"/>
        <v>5789049.0099999998</v>
      </c>
      <c r="M57" s="41">
        <f t="shared" si="11"/>
        <v>0.53722549647465567</v>
      </c>
      <c r="N57" s="42">
        <f t="shared" si="15"/>
        <v>4986777.99</v>
      </c>
      <c r="O57" s="42">
        <f>'FY 2009 Exp 01-15-10'!C10</f>
        <v>10462445</v>
      </c>
      <c r="P57" s="42">
        <f>SUM('FY 2009 Exp 01-15-10'!F10:K10)</f>
        <v>5235693.53</v>
      </c>
      <c r="Q57" s="41">
        <f t="shared" si="16"/>
        <v>0.50042734083667828</v>
      </c>
      <c r="R57" s="42">
        <f>'FY 2009 Exp 01-15-10'!D10</f>
        <v>10559987</v>
      </c>
      <c r="S57" s="41">
        <f t="shared" si="17"/>
        <v>0.49580492191893799</v>
      </c>
      <c r="T57" s="42">
        <f t="shared" si="18"/>
        <v>5226751.47</v>
      </c>
      <c r="U57" s="42">
        <f>'FY 2008 Exp 01-15-10'!C10</f>
        <v>10123030</v>
      </c>
      <c r="V57" s="42">
        <f>SUM('FY 2008 Exp 01-15-10'!F10:K10)</f>
        <v>5045943.1099999994</v>
      </c>
      <c r="W57" s="41">
        <f t="shared" si="19"/>
        <v>0.49846173625880785</v>
      </c>
      <c r="X57" s="42">
        <f>'FY 2008 Exp 01-15-10'!D10</f>
        <v>10223818</v>
      </c>
      <c r="Y57" s="41">
        <f t="shared" si="20"/>
        <v>0.49354782234973271</v>
      </c>
      <c r="Z57" s="13">
        <f t="shared" si="21"/>
        <v>5077086.8900000006</v>
      </c>
    </row>
    <row r="58" spans="1:26" ht="15.75" customHeight="1">
      <c r="A58" s="135" t="s">
        <v>33</v>
      </c>
      <c r="B58" s="136"/>
      <c r="C58" s="28">
        <f>'FY 2010 Exp as of 01-15-10'!C11</f>
        <v>13414559</v>
      </c>
      <c r="D58" s="28">
        <f>'FY2010 Exp as of 4-15-10'!E11</f>
        <v>7489826.7000000002</v>
      </c>
      <c r="E58" s="12">
        <f t="shared" si="9"/>
        <v>0.5583356635130533</v>
      </c>
      <c r="F58" s="28">
        <f t="shared" si="12"/>
        <v>-782547.20000000019</v>
      </c>
      <c r="G58" s="23">
        <f t="shared" si="13"/>
        <v>6707279.5</v>
      </c>
      <c r="H58" s="25">
        <f t="shared" si="10"/>
        <v>5924732.2999999998</v>
      </c>
      <c r="I58" s="1">
        <v>0.5</v>
      </c>
      <c r="J58" s="35" t="s">
        <v>33</v>
      </c>
      <c r="K58" s="42">
        <f t="shared" si="22"/>
        <v>13414559</v>
      </c>
      <c r="L58" s="42">
        <f t="shared" si="14"/>
        <v>7489826.7000000002</v>
      </c>
      <c r="M58" s="41">
        <f t="shared" si="11"/>
        <v>0.5583356635130533</v>
      </c>
      <c r="N58" s="42">
        <f t="shared" si="15"/>
        <v>5924732.2999999998</v>
      </c>
      <c r="O58" s="42">
        <f>'FY 2009 Exp 01-15-10'!C11</f>
        <v>13483773</v>
      </c>
      <c r="P58" s="42">
        <f>SUM('FY 2009 Exp 01-15-10'!F11:K11)</f>
        <v>11711630.540000001</v>
      </c>
      <c r="Q58" s="41">
        <f t="shared" si="16"/>
        <v>0.86857221194690837</v>
      </c>
      <c r="R58" s="42">
        <f>'FY 2009 Exp 01-15-10'!D11</f>
        <v>25988724</v>
      </c>
      <c r="S58" s="41">
        <f t="shared" si="17"/>
        <v>0.45064276876386855</v>
      </c>
      <c r="T58" s="42">
        <f t="shared" si="18"/>
        <v>1772142.459999999</v>
      </c>
      <c r="U58" s="42">
        <f>'FY 2008 Exp 01-15-10'!C11</f>
        <v>13190056</v>
      </c>
      <c r="V58" s="42">
        <f>SUM('FY 2008 Exp 01-15-10'!F11:K11)</f>
        <v>10805359.48</v>
      </c>
      <c r="W58" s="41">
        <f t="shared" si="19"/>
        <v>0.81920497380754109</v>
      </c>
      <c r="X58" s="42">
        <f>'FY 2008 Exp 01-15-10'!D11</f>
        <v>40957636</v>
      </c>
      <c r="Y58" s="41">
        <f t="shared" si="20"/>
        <v>0.26381794789132851</v>
      </c>
      <c r="Z58" s="13">
        <f t="shared" si="21"/>
        <v>2384696.5199999996</v>
      </c>
    </row>
    <row r="59" spans="1:26" ht="15.75" customHeight="1">
      <c r="A59" s="135" t="s">
        <v>34</v>
      </c>
      <c r="B59" s="136"/>
      <c r="C59" s="28">
        <f>'FY 2010 Exp as of 01-15-10'!C12</f>
        <v>65544767</v>
      </c>
      <c r="D59" s="28">
        <f>'FY2010 Exp as of 4-15-10'!E12</f>
        <v>35211365.259999998</v>
      </c>
      <c r="E59" s="12">
        <f t="shared" si="9"/>
        <v>0.53721093035543166</v>
      </c>
      <c r="F59" s="28">
        <f t="shared" si="12"/>
        <v>-2438981.7599999979</v>
      </c>
      <c r="G59" s="23">
        <f t="shared" si="13"/>
        <v>32772383.5</v>
      </c>
      <c r="H59" s="25">
        <f t="shared" si="10"/>
        <v>30333401.740000002</v>
      </c>
      <c r="I59" s="1">
        <v>0.5</v>
      </c>
      <c r="J59" s="35" t="s">
        <v>34</v>
      </c>
      <c r="K59" s="42">
        <f t="shared" si="22"/>
        <v>65544767</v>
      </c>
      <c r="L59" s="42">
        <f t="shared" si="14"/>
        <v>35211365.259999998</v>
      </c>
      <c r="M59" s="41">
        <f t="shared" si="11"/>
        <v>0.53721093035543166</v>
      </c>
      <c r="N59" s="42">
        <f t="shared" si="15"/>
        <v>30333401.740000002</v>
      </c>
      <c r="O59" s="42">
        <f>'FY 2009 Exp 01-15-10'!C12</f>
        <v>65608655</v>
      </c>
      <c r="P59" s="42">
        <f>SUM('FY 2009 Exp 01-15-10'!F12:K12)</f>
        <v>32566145.509999998</v>
      </c>
      <c r="Q59" s="41">
        <f t="shared" si="16"/>
        <v>0.49636965595469068</v>
      </c>
      <c r="R59" s="42">
        <f>'FY 2009 Exp 01-15-10'!D12</f>
        <v>58058647</v>
      </c>
      <c r="S59" s="41">
        <f t="shared" si="17"/>
        <v>0.56091809218358113</v>
      </c>
      <c r="T59" s="42">
        <f t="shared" si="18"/>
        <v>33042509.490000002</v>
      </c>
      <c r="U59" s="42">
        <f>'FY 2008 Exp 01-15-10'!C12</f>
        <v>64075535</v>
      </c>
      <c r="V59" s="42">
        <f>SUM('FY 2008 Exp 01-15-10'!F12:K12)</f>
        <v>32507374.360000003</v>
      </c>
      <c r="W59" s="41">
        <f t="shared" si="19"/>
        <v>0.50732895730016148</v>
      </c>
      <c r="X59" s="42">
        <f>'FY 2008 Exp 01-15-10'!D12</f>
        <v>57996969</v>
      </c>
      <c r="Y59" s="41">
        <f t="shared" si="20"/>
        <v>0.56050126274702394</v>
      </c>
      <c r="Z59" s="13">
        <f t="shared" si="21"/>
        <v>31568160.639999997</v>
      </c>
    </row>
    <row r="60" spans="1:26" ht="15.75" customHeight="1">
      <c r="A60" s="135" t="s">
        <v>132</v>
      </c>
      <c r="B60" s="136"/>
      <c r="C60" s="28">
        <f>'FY 2010 Exp as of 01-15-10'!C13</f>
        <v>19347332</v>
      </c>
      <c r="D60" s="28">
        <f>'FY2010 Exp as of 4-15-10'!E13</f>
        <v>33195586.399999999</v>
      </c>
      <c r="E60" s="12">
        <f t="shared" si="9"/>
        <v>1.7157707533007651</v>
      </c>
      <c r="F60" s="28">
        <f t="shared" si="12"/>
        <v>-23521920.399999999</v>
      </c>
      <c r="G60" s="23">
        <f t="shared" si="13"/>
        <v>9673666</v>
      </c>
      <c r="H60" s="25">
        <v>0</v>
      </c>
      <c r="I60" s="1">
        <v>0.5</v>
      </c>
      <c r="J60" s="35" t="s">
        <v>132</v>
      </c>
      <c r="K60" s="42">
        <f t="shared" si="22"/>
        <v>19347332</v>
      </c>
      <c r="L60" s="42">
        <f t="shared" si="14"/>
        <v>33195586.399999999</v>
      </c>
      <c r="M60" s="41">
        <f t="shared" si="11"/>
        <v>1.7157707533007651</v>
      </c>
      <c r="N60" s="42">
        <f t="shared" si="15"/>
        <v>-13848254.399999999</v>
      </c>
      <c r="O60" s="42">
        <f>'FY 2009 Exp 01-15-10'!C13</f>
        <v>19861346</v>
      </c>
      <c r="P60" s="42">
        <f>SUM('FY 2009 Exp 01-15-10'!F13:K13)</f>
        <v>23470164.149999999</v>
      </c>
      <c r="Q60" s="41">
        <f t="shared" si="16"/>
        <v>1.1817005831326839</v>
      </c>
      <c r="R60" s="42">
        <f>'FY 2009 Exp 01-15-10'!D13</f>
        <v>38533167</v>
      </c>
      <c r="S60" s="41">
        <f t="shared" si="17"/>
        <v>0.60908993413388524</v>
      </c>
      <c r="T60" s="42">
        <f t="shared" si="18"/>
        <v>-3608818.1499999985</v>
      </c>
      <c r="U60" s="42">
        <f>'FY 2008 Exp 01-15-10'!C13</f>
        <v>17022879</v>
      </c>
      <c r="V60" s="42">
        <f>SUM('FY 2008 Exp 01-15-10'!F13:K13)</f>
        <v>25684205.489999998</v>
      </c>
      <c r="W60" s="41">
        <f t="shared" si="19"/>
        <v>1.508805031745805</v>
      </c>
      <c r="X60" s="42">
        <f>'FY 2008 Exp 01-15-10'!D13</f>
        <v>37697948</v>
      </c>
      <c r="Y60" s="41">
        <f t="shared" si="20"/>
        <v>0.68131574402935668</v>
      </c>
      <c r="Z60" s="13">
        <f t="shared" si="21"/>
        <v>-8661326.4899999984</v>
      </c>
    </row>
    <row r="61" spans="1:26" ht="15.75" customHeight="1" thickBot="1">
      <c r="A61" s="135" t="s">
        <v>35</v>
      </c>
      <c r="B61" s="136"/>
      <c r="C61" s="28">
        <f>'FY 2010 Exp as of 01-15-10'!C14</f>
        <v>26609348</v>
      </c>
      <c r="D61" s="28">
        <f>'FY2010 Exp as of 4-15-10'!E14</f>
        <v>18116148.25</v>
      </c>
      <c r="E61" s="12">
        <f t="shared" si="9"/>
        <v>0.68081894565774403</v>
      </c>
      <c r="F61" s="28">
        <f t="shared" si="12"/>
        <v>-4811474.25</v>
      </c>
      <c r="G61" s="23">
        <f t="shared" si="13"/>
        <v>13304674</v>
      </c>
      <c r="H61" s="25">
        <f t="shared" si="10"/>
        <v>8493199.75</v>
      </c>
      <c r="I61" s="1">
        <v>0.5</v>
      </c>
      <c r="J61" s="35" t="s">
        <v>35</v>
      </c>
      <c r="K61" s="44">
        <f t="shared" si="22"/>
        <v>26609348</v>
      </c>
      <c r="L61" s="44">
        <f t="shared" si="14"/>
        <v>18116148.25</v>
      </c>
      <c r="M61" s="38">
        <f t="shared" si="11"/>
        <v>0.68081894565774403</v>
      </c>
      <c r="N61" s="44">
        <f t="shared" si="15"/>
        <v>8493199.75</v>
      </c>
      <c r="O61" s="44">
        <f>'FY 2009 Exp 01-15-10'!C14</f>
        <v>27673796</v>
      </c>
      <c r="P61" s="44">
        <f>SUM('FY 2009 Exp 01-15-10'!F14:K14)</f>
        <v>18356153.68</v>
      </c>
      <c r="Q61" s="38">
        <f t="shared" si="16"/>
        <v>0.66330450943556862</v>
      </c>
      <c r="R61" s="44">
        <f>'FY 2009 Exp 01-15-10'!D14</f>
        <v>70249042</v>
      </c>
      <c r="S61" s="38">
        <f t="shared" si="17"/>
        <v>0.26130112464736527</v>
      </c>
      <c r="T61" s="44">
        <f t="shared" si="18"/>
        <v>9317642.3200000003</v>
      </c>
      <c r="U61" s="44">
        <f>'FY 2008 Exp 01-15-10'!C14</f>
        <v>25864446</v>
      </c>
      <c r="V61" s="44">
        <f>SUM('FY 2008 Exp 01-15-10'!F14:K14)</f>
        <v>16402000.040000001</v>
      </c>
      <c r="W61" s="38">
        <f t="shared" si="19"/>
        <v>0.634152381999599</v>
      </c>
      <c r="X61" s="44">
        <f>'FY 2008 Exp 01-15-10'!D14</f>
        <v>40216702</v>
      </c>
      <c r="Y61" s="38">
        <f t="shared" si="20"/>
        <v>0.40784050467390393</v>
      </c>
      <c r="Z61" s="45">
        <f t="shared" si="21"/>
        <v>9462445.959999999</v>
      </c>
    </row>
    <row r="62" spans="1:26" ht="15.75" customHeight="1" thickBot="1">
      <c r="A62" s="139" t="s">
        <v>28</v>
      </c>
      <c r="B62" s="140"/>
      <c r="C62" s="20">
        <f>SUM(C49:C61)</f>
        <v>270182156</v>
      </c>
      <c r="D62" s="20">
        <f>SUM(D49:D61)</f>
        <v>180025833.49000001</v>
      </c>
      <c r="E62" s="12">
        <f t="shared" si="9"/>
        <v>0.66631281708330137</v>
      </c>
      <c r="F62" s="13">
        <f t="shared" si="12"/>
        <v>-44934755.49000001</v>
      </c>
      <c r="G62" s="23">
        <f t="shared" si="13"/>
        <v>135091078</v>
      </c>
      <c r="J62" s="30"/>
      <c r="K62" s="43">
        <f>SUM(K49:K61)</f>
        <v>270182156</v>
      </c>
      <c r="L62" s="43">
        <f>SUM(L49:L61)</f>
        <v>180025833.49000001</v>
      </c>
      <c r="M62" s="39">
        <f t="shared" si="11"/>
        <v>0.66631281708330137</v>
      </c>
      <c r="N62" s="43">
        <f>SUM(N49:N61)</f>
        <v>90156322.50999999</v>
      </c>
      <c r="O62" s="43">
        <f t="shared" ref="O62:Z62" si="23">SUM(O49:O61)</f>
        <v>269482206</v>
      </c>
      <c r="P62" s="43">
        <f t="shared" si="23"/>
        <v>166184737.33000001</v>
      </c>
      <c r="Q62" s="39">
        <f t="shared" si="16"/>
        <v>0.6166816718503485</v>
      </c>
      <c r="R62" s="43">
        <f t="shared" si="23"/>
        <v>345653526</v>
      </c>
      <c r="S62" s="39">
        <f t="shared" si="17"/>
        <v>0.48078415184458445</v>
      </c>
      <c r="T62" s="43">
        <f t="shared" si="23"/>
        <v>103297468.66999999</v>
      </c>
      <c r="U62" s="43">
        <f t="shared" si="23"/>
        <v>255607673</v>
      </c>
      <c r="V62" s="43">
        <f t="shared" si="23"/>
        <v>156234673.19999999</v>
      </c>
      <c r="W62" s="39">
        <f t="shared" si="19"/>
        <v>0.61122841644898507</v>
      </c>
      <c r="X62" s="43">
        <f t="shared" si="23"/>
        <v>322179771</v>
      </c>
      <c r="Y62" s="39">
        <f t="shared" si="20"/>
        <v>0.48493011437394057</v>
      </c>
      <c r="Z62" s="43">
        <f t="shared" si="23"/>
        <v>99372999.799999997</v>
      </c>
    </row>
    <row r="63" spans="1:26" ht="13.5" thickTop="1">
      <c r="J63" s="79"/>
    </row>
    <row r="64" spans="1:26">
      <c r="J64" s="79"/>
    </row>
    <row r="65" spans="10:10">
      <c r="J65" s="79"/>
    </row>
    <row r="66" spans="10:10">
      <c r="J66" s="79"/>
    </row>
    <row r="67" spans="10:10">
      <c r="J67" s="79"/>
    </row>
    <row r="68" spans="10:10">
      <c r="J68" s="79"/>
    </row>
    <row r="69" spans="10:10">
      <c r="J69" s="79"/>
    </row>
    <row r="70" spans="10:10">
      <c r="J70" s="79"/>
    </row>
    <row r="71" spans="10:10">
      <c r="J71" s="79"/>
    </row>
    <row r="72" spans="10:10">
      <c r="J72" s="79"/>
    </row>
    <row r="73" spans="10:10">
      <c r="J73" s="79"/>
    </row>
    <row r="74" spans="10:10">
      <c r="J74" s="79"/>
    </row>
    <row r="75" spans="10:10">
      <c r="J75" s="79"/>
    </row>
    <row r="76" spans="10:10">
      <c r="J76" s="80"/>
    </row>
    <row r="77" spans="10:10">
      <c r="J77" s="81"/>
    </row>
  </sheetData>
  <mergeCells count="28">
    <mergeCell ref="A59:B59"/>
    <mergeCell ref="A60:B60"/>
    <mergeCell ref="A61:B61"/>
    <mergeCell ref="A62:B62"/>
    <mergeCell ref="A53:B53"/>
    <mergeCell ref="A54:B54"/>
    <mergeCell ref="A55:B55"/>
    <mergeCell ref="A56:B56"/>
    <mergeCell ref="A57:B57"/>
    <mergeCell ref="A58:B58"/>
    <mergeCell ref="A52:B52"/>
    <mergeCell ref="A19:B19"/>
    <mergeCell ref="A20:B20"/>
    <mergeCell ref="A21:B21"/>
    <mergeCell ref="A22:B22"/>
    <mergeCell ref="A23:B23"/>
    <mergeCell ref="A24:B24"/>
    <mergeCell ref="A46:F46"/>
    <mergeCell ref="A48:B48"/>
    <mergeCell ref="A49:B49"/>
    <mergeCell ref="A50:B50"/>
    <mergeCell ref="A51:B51"/>
    <mergeCell ref="A18:B18"/>
    <mergeCell ref="B3:D3"/>
    <mergeCell ref="A13:F13"/>
    <mergeCell ref="A14:F14"/>
    <mergeCell ref="A16:B16"/>
    <mergeCell ref="A17:B1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8"/>
  <sheetViews>
    <sheetView topLeftCell="I11" workbookViewId="0">
      <selection activeCell="V63" sqref="V63"/>
    </sheetView>
  </sheetViews>
  <sheetFormatPr defaultRowHeight="12.75"/>
  <cols>
    <col min="1" max="1" width="5.5" style="2" bestFit="1" customWidth="1"/>
    <col min="2" max="2" width="15" style="2" customWidth="1"/>
    <col min="3" max="3" width="18.5" style="2" customWidth="1"/>
    <col min="4" max="4" width="18.25" style="2" customWidth="1"/>
    <col min="5" max="5" width="7.625" style="2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2.5" style="2" bestFit="1" customWidth="1"/>
    <col min="12" max="12" width="11.125" style="2" bestFit="1" customWidth="1"/>
    <col min="13" max="13" width="10.25" style="2" customWidth="1"/>
    <col min="14" max="14" width="11.5" style="2" customWidth="1"/>
    <col min="15" max="15" width="11.125" style="2" bestFit="1" customWidth="1"/>
    <col min="16" max="16" width="13.25" style="2" bestFit="1" customWidth="1"/>
    <col min="17" max="17" width="10.25" style="2" customWidth="1"/>
    <col min="18" max="18" width="12.5" style="2" bestFit="1" customWidth="1"/>
    <col min="19" max="19" width="12" style="2" customWidth="1"/>
    <col min="20" max="20" width="12.5" style="2" bestFit="1" customWidth="1"/>
    <col min="21" max="21" width="11.125" style="2" bestFit="1" customWidth="1"/>
    <col min="22" max="22" width="11.875" style="2" customWidth="1"/>
    <col min="23" max="23" width="10.75" style="2" customWidth="1"/>
    <col min="24" max="24" width="11.125" style="2" bestFit="1" customWidth="1"/>
    <col min="25" max="25" width="10.75" style="2" customWidth="1"/>
    <col min="26" max="26" width="12.5" style="2" bestFit="1" customWidth="1"/>
    <col min="27" max="16384" width="9" style="2"/>
  </cols>
  <sheetData>
    <row r="1" spans="1:21" ht="15.95" customHeight="1">
      <c r="E1" s="3"/>
      <c r="F1" s="3" t="s">
        <v>23</v>
      </c>
    </row>
    <row r="2" spans="1:21" ht="15.95" customHeight="1">
      <c r="E2" s="3"/>
      <c r="F2" s="3" t="s">
        <v>52</v>
      </c>
    </row>
    <row r="3" spans="1:21" ht="15.95" customHeight="1">
      <c r="B3" s="127" t="s">
        <v>41</v>
      </c>
      <c r="C3" s="127"/>
      <c r="D3" s="127"/>
      <c r="E3" s="3"/>
      <c r="F3" s="3" t="s">
        <v>53</v>
      </c>
    </row>
    <row r="4" spans="1:21" ht="15.95" customHeight="1">
      <c r="E4" s="3"/>
      <c r="F4" s="3" t="s">
        <v>54</v>
      </c>
    </row>
    <row r="5" spans="1:21" ht="15.95" customHeight="1">
      <c r="E5" s="3"/>
      <c r="F5" s="3" t="s">
        <v>24</v>
      </c>
    </row>
    <row r="6" spans="1:21" ht="15.75">
      <c r="A6" s="4"/>
      <c r="B6" s="4"/>
      <c r="C6" s="4"/>
      <c r="D6" s="5"/>
      <c r="E6" s="5"/>
      <c r="F6" s="4"/>
    </row>
    <row r="7" spans="1:21" ht="15.75">
      <c r="D7" s="3"/>
      <c r="E7" s="3"/>
    </row>
    <row r="8" spans="1:21" ht="19.5" customHeight="1">
      <c r="A8" s="6" t="s">
        <v>36</v>
      </c>
      <c r="B8" s="7" t="s">
        <v>37</v>
      </c>
    </row>
    <row r="9" spans="1:21" ht="19.5" customHeight="1">
      <c r="A9" s="6" t="s">
        <v>38</v>
      </c>
      <c r="B9" s="7" t="s">
        <v>93</v>
      </c>
    </row>
    <row r="10" spans="1:21" ht="19.5" customHeight="1">
      <c r="A10" s="6" t="s">
        <v>39</v>
      </c>
      <c r="B10" s="8">
        <v>40374</v>
      </c>
    </row>
    <row r="11" spans="1:21" ht="19.5" customHeight="1">
      <c r="A11" s="6" t="s">
        <v>40</v>
      </c>
      <c r="B11" s="7" t="s">
        <v>139</v>
      </c>
    </row>
    <row r="12" spans="1:21" ht="19.5" customHeight="1">
      <c r="A12" s="6"/>
      <c r="B12" s="7"/>
    </row>
    <row r="13" spans="1:21" ht="23.25" customHeight="1">
      <c r="A13" s="132"/>
      <c r="B13" s="132"/>
      <c r="C13" s="132"/>
      <c r="D13" s="132"/>
      <c r="E13" s="132"/>
      <c r="F13" s="132"/>
    </row>
    <row r="14" spans="1:21" ht="21" customHeight="1">
      <c r="A14" s="133" t="s">
        <v>127</v>
      </c>
      <c r="B14" s="133"/>
      <c r="C14" s="133"/>
      <c r="D14" s="133"/>
      <c r="E14" s="133"/>
      <c r="F14" s="133"/>
    </row>
    <row r="15" spans="1:21">
      <c r="K15" s="34"/>
      <c r="L15" s="34"/>
      <c r="M15" s="34"/>
      <c r="N15" s="34"/>
    </row>
    <row r="16" spans="1:21" ht="38.25">
      <c r="A16" s="134"/>
      <c r="B16" s="134"/>
      <c r="C16" s="9" t="s">
        <v>94</v>
      </c>
      <c r="D16" s="9" t="s">
        <v>44</v>
      </c>
      <c r="E16" s="9" t="s">
        <v>25</v>
      </c>
      <c r="F16" s="9" t="s">
        <v>141</v>
      </c>
      <c r="G16" s="10">
        <v>0.75</v>
      </c>
      <c r="H16" s="2" t="s">
        <v>42</v>
      </c>
      <c r="I16" s="10">
        <v>0.75</v>
      </c>
      <c r="K16" s="9" t="s">
        <v>94</v>
      </c>
      <c r="L16" s="9" t="s">
        <v>102</v>
      </c>
      <c r="M16" s="9">
        <v>2010</v>
      </c>
      <c r="N16" s="9" t="s">
        <v>1</v>
      </c>
      <c r="O16" s="9" t="s">
        <v>140</v>
      </c>
      <c r="P16" s="9" t="s">
        <v>106</v>
      </c>
      <c r="Q16" s="9">
        <v>2009</v>
      </c>
      <c r="R16" s="9" t="s">
        <v>104</v>
      </c>
      <c r="S16" s="9" t="s">
        <v>144</v>
      </c>
      <c r="T16" s="9" t="s">
        <v>107</v>
      </c>
      <c r="U16" s="9">
        <v>2008</v>
      </c>
    </row>
    <row r="17" spans="1:21" ht="15.75" customHeight="1">
      <c r="A17" s="131" t="s">
        <v>26</v>
      </c>
      <c r="B17" s="131"/>
      <c r="C17" s="11">
        <f>'FY 2010 Rev as of 01-15-10'!E3</f>
        <v>175939506</v>
      </c>
      <c r="D17" s="11">
        <f>'FY2010 Rev as of 7-15-10'!D3</f>
        <v>173979625.33000001</v>
      </c>
      <c r="E17" s="12">
        <f t="shared" ref="E17:E24" si="0">(D17/C17)</f>
        <v>0.98886048554666295</v>
      </c>
      <c r="F17" s="29">
        <f t="shared" ref="F17:F23" si="1">D17-G17</f>
        <v>42024995.830000013</v>
      </c>
      <c r="G17" s="14">
        <f>C17*0.75</f>
        <v>131954629.5</v>
      </c>
      <c r="H17" s="15">
        <f t="shared" ref="H17:H23" si="2">C17-D17</f>
        <v>1959880.6699999869</v>
      </c>
      <c r="I17" s="10">
        <v>0.75</v>
      </c>
      <c r="J17" s="21" t="str">
        <f>A17</f>
        <v>Current / Delinquent Taxes</v>
      </c>
      <c r="K17" s="11">
        <f t="shared" ref="K17:L23" si="3">C17</f>
        <v>175939506</v>
      </c>
      <c r="L17" s="11">
        <f t="shared" si="3"/>
        <v>173979625.33000001</v>
      </c>
      <c r="M17" s="12">
        <f t="shared" ref="M17:M24" si="4">(L17/K17)</f>
        <v>0.98886048554666295</v>
      </c>
      <c r="N17" s="11">
        <f>'FY 2009 Rev 01-15-10'!E3</f>
        <v>173590951</v>
      </c>
      <c r="O17" s="11">
        <f>SUM('FY 2009 Rev 01-15-10'!F3:N3)</f>
        <v>172769380.41</v>
      </c>
      <c r="P17" s="11">
        <f>'FY 2009 Rev 01-15-10'!D3</f>
        <v>174870775.59</v>
      </c>
      <c r="Q17" s="12">
        <f t="shared" ref="Q17:Q24" si="5">O17/P17</f>
        <v>0.98798315400094683</v>
      </c>
      <c r="R17" s="11">
        <f>'FY 2008 Rev 01-15-10'!E3</f>
        <v>171068428</v>
      </c>
      <c r="S17" s="11">
        <f>SUM('FY 2008 Rev 01-15-10'!F3:N3)</f>
        <v>168530025.16999999</v>
      </c>
      <c r="T17" s="11">
        <f>'FY 2008 Rev 01-15-10'!D3</f>
        <v>171077825.91999999</v>
      </c>
      <c r="U17" s="12">
        <f t="shared" ref="U17:U24" si="6">S17/T17</f>
        <v>0.98510735838324592</v>
      </c>
    </row>
    <row r="18" spans="1:21" ht="15.75" customHeight="1">
      <c r="A18" s="131" t="s">
        <v>95</v>
      </c>
      <c r="B18" s="131"/>
      <c r="C18" s="16">
        <f>'FY 2010 Rev as of 01-15-10'!E6</f>
        <v>335854</v>
      </c>
      <c r="D18" s="28">
        <f>'FY2010 Rev as of 7-15-10'!D6</f>
        <v>212828.2</v>
      </c>
      <c r="E18" s="12">
        <f>(D18/C18)</f>
        <v>0.63369261643452213</v>
      </c>
      <c r="F18" s="22">
        <f>D18-G18</f>
        <v>-39062.299999999988</v>
      </c>
      <c r="G18" s="14">
        <f t="shared" ref="G18:G24" si="7">C18*0.75</f>
        <v>251890.5</v>
      </c>
      <c r="H18" s="15">
        <f t="shared" si="2"/>
        <v>123025.79999999999</v>
      </c>
      <c r="I18" s="10">
        <v>0.75</v>
      </c>
      <c r="J18" s="21" t="str">
        <f t="shared" ref="J18:J23" si="8">A18</f>
        <v>License / Permits</v>
      </c>
      <c r="K18" s="16">
        <f t="shared" si="3"/>
        <v>335854</v>
      </c>
      <c r="L18" s="28">
        <f t="shared" si="3"/>
        <v>212828.2</v>
      </c>
      <c r="M18" s="12">
        <f t="shared" si="4"/>
        <v>0.63369261643452213</v>
      </c>
      <c r="N18" s="28">
        <f>'FY 2009 Rev 01-15-10'!E6</f>
        <v>650650</v>
      </c>
      <c r="O18" s="28">
        <f>SUM('FY 2009 Rev 01-15-10'!F6:N6)</f>
        <v>226602.73999999996</v>
      </c>
      <c r="P18" s="28">
        <f>'FY 2009 Rev 01-15-10'!D6</f>
        <v>283457.14</v>
      </c>
      <c r="Q18" s="12">
        <f t="shared" si="5"/>
        <v>0.79942505593614599</v>
      </c>
      <c r="R18" s="28">
        <f>'FY 2008 Rev 01-15-10'!E6</f>
        <v>826700</v>
      </c>
      <c r="S18" s="28">
        <f>SUM('FY 2008 Rev 01-15-10'!F6:N6)</f>
        <v>477510.12000000005</v>
      </c>
      <c r="T18" s="28">
        <f>'FY 2008 Rev 01-15-10'!D6</f>
        <v>653856.6</v>
      </c>
      <c r="U18" s="12">
        <f t="shared" si="6"/>
        <v>0.73029792771075508</v>
      </c>
    </row>
    <row r="19" spans="1:21" ht="15.75" customHeight="1">
      <c r="A19" s="131" t="s">
        <v>51</v>
      </c>
      <c r="B19" s="131"/>
      <c r="C19" s="16">
        <f>'FY 2010 Rev as of 01-15-10'!E13</f>
        <v>10763558</v>
      </c>
      <c r="D19" s="28">
        <f>'FY2010 Rev as of 7-15-10'!D13</f>
        <v>9403206.629999999</v>
      </c>
      <c r="E19" s="12">
        <f t="shared" si="0"/>
        <v>0.87361508434292812</v>
      </c>
      <c r="F19" s="22">
        <f t="shared" si="1"/>
        <v>1330538.129999999</v>
      </c>
      <c r="G19" s="14">
        <f t="shared" si="7"/>
        <v>8072668.5</v>
      </c>
      <c r="H19" s="27">
        <f t="shared" si="2"/>
        <v>1360351.370000001</v>
      </c>
      <c r="I19" s="10">
        <v>0.75</v>
      </c>
      <c r="J19" s="21" t="str">
        <f t="shared" si="8"/>
        <v>Intergovernmental Revenue</v>
      </c>
      <c r="K19" s="16">
        <f t="shared" si="3"/>
        <v>10763558</v>
      </c>
      <c r="L19" s="28">
        <f t="shared" si="3"/>
        <v>9403206.629999999</v>
      </c>
      <c r="M19" s="12">
        <f t="shared" si="4"/>
        <v>0.87361508434292812</v>
      </c>
      <c r="N19" s="28">
        <f>'FY 2009 Rev 01-15-10'!E13</f>
        <v>9723482</v>
      </c>
      <c r="O19" s="28">
        <f>SUM('FY 2009 Rev 01-15-10'!F13:N13)</f>
        <v>11878328.279999999</v>
      </c>
      <c r="P19" s="28">
        <f>'FY 2009 Rev 01-15-10'!D13</f>
        <v>18664970.830000002</v>
      </c>
      <c r="Q19" s="12">
        <f t="shared" si="5"/>
        <v>0.63639683062928198</v>
      </c>
      <c r="R19" s="28">
        <f>'FY 2008 Rev 01-15-10'!E12</f>
        <v>14349223</v>
      </c>
      <c r="S19" s="28">
        <f>SUM('FY 2008 Rev 01-15-10'!F12:N12)</f>
        <v>10791727.23</v>
      </c>
      <c r="T19" s="28">
        <f>'FY 2008 Rev 01-15-10'!D12</f>
        <v>16017505.82</v>
      </c>
      <c r="U19" s="12">
        <f t="shared" si="6"/>
        <v>0.67374579733413198</v>
      </c>
    </row>
    <row r="20" spans="1:21" ht="15.75" customHeight="1">
      <c r="A20" s="131" t="s">
        <v>2</v>
      </c>
      <c r="B20" s="131"/>
      <c r="C20" s="16">
        <f>'FY 2010 Rev as of 01-15-10'!E21</f>
        <v>40351226</v>
      </c>
      <c r="D20" s="28">
        <f>'FY2010 Rev as of 7-15-10'!D21</f>
        <v>28642345.460000001</v>
      </c>
      <c r="E20" s="12">
        <f t="shared" si="0"/>
        <v>0.70982590367886222</v>
      </c>
      <c r="F20" s="22">
        <f t="shared" si="1"/>
        <v>-1621074.0399999991</v>
      </c>
      <c r="G20" s="14">
        <f t="shared" si="7"/>
        <v>30263419.5</v>
      </c>
      <c r="H20" s="27">
        <f t="shared" si="2"/>
        <v>11708880.539999999</v>
      </c>
      <c r="I20" s="10">
        <v>0.75</v>
      </c>
      <c r="J20" s="21" t="str">
        <f t="shared" si="8"/>
        <v>Fees/Charges for Services</v>
      </c>
      <c r="K20" s="16">
        <f t="shared" si="3"/>
        <v>40351226</v>
      </c>
      <c r="L20" s="28">
        <f t="shared" si="3"/>
        <v>28642345.460000001</v>
      </c>
      <c r="M20" s="12">
        <f t="shared" si="4"/>
        <v>0.70982590367886222</v>
      </c>
      <c r="N20" s="28">
        <f>'FY 2009 Rev 01-15-10'!E21</f>
        <v>38656872</v>
      </c>
      <c r="O20" s="28">
        <f>SUM('FY 2009 Rev 01-15-10'!F21:N21)</f>
        <v>27411601.84</v>
      </c>
      <c r="P20" s="28">
        <f>'FY 2009 Rev 01-15-10'!D21</f>
        <v>38824923.710000001</v>
      </c>
      <c r="Q20" s="12">
        <f t="shared" si="5"/>
        <v>0.706031054812857</v>
      </c>
      <c r="R20" s="28">
        <f>'FY 2008 Rev 01-15-10'!E20</f>
        <v>34135331</v>
      </c>
      <c r="S20" s="28">
        <f>SUM('FY 2008 Rev 01-15-10'!F20:N20)</f>
        <v>29665368.060000002</v>
      </c>
      <c r="T20" s="28">
        <f>'FY 2008 Rev 01-15-10'!D20</f>
        <v>39520826.649999999</v>
      </c>
      <c r="U20" s="12">
        <f t="shared" si="6"/>
        <v>0.75062620331095742</v>
      </c>
    </row>
    <row r="21" spans="1:21" ht="15.75" customHeight="1">
      <c r="A21" s="131" t="s">
        <v>4</v>
      </c>
      <c r="B21" s="131"/>
      <c r="C21" s="16">
        <f>'FY 2010 Rev as of 01-15-10'!E23</f>
        <v>4596375</v>
      </c>
      <c r="D21" s="28">
        <f>'FY2010 Rev as of 7-15-10'!D23</f>
        <v>2869668.2</v>
      </c>
      <c r="E21" s="12">
        <f t="shared" si="0"/>
        <v>0.62433291452503337</v>
      </c>
      <c r="F21" s="22">
        <f t="shared" si="1"/>
        <v>-577613.04999999981</v>
      </c>
      <c r="G21" s="14">
        <f t="shared" si="7"/>
        <v>3447281.25</v>
      </c>
      <c r="H21" s="27">
        <f t="shared" si="2"/>
        <v>1726706.7999999998</v>
      </c>
      <c r="I21" s="10">
        <v>0.75</v>
      </c>
      <c r="J21" s="21" t="str">
        <f t="shared" si="8"/>
        <v>Fines</v>
      </c>
      <c r="K21" s="16">
        <f t="shared" si="3"/>
        <v>4596375</v>
      </c>
      <c r="L21" s="28">
        <f t="shared" si="3"/>
        <v>2869668.2</v>
      </c>
      <c r="M21" s="12">
        <f t="shared" si="4"/>
        <v>0.62433291452503337</v>
      </c>
      <c r="N21" s="28">
        <f>'FY 2009 Rev 01-15-10'!E23</f>
        <v>4675500</v>
      </c>
      <c r="O21" s="28">
        <f>SUM('FY 2009 Rev 01-15-10'!F23:N23)</f>
        <v>3329381.45</v>
      </c>
      <c r="P21" s="28">
        <f>'FY 2009 Rev 01-15-10'!D23</f>
        <v>4484058.21</v>
      </c>
      <c r="Q21" s="12">
        <f t="shared" si="5"/>
        <v>0.74249291469389733</v>
      </c>
      <c r="R21" s="28">
        <f>'FY 2008 Rev 01-15-10'!E22</f>
        <v>5009825</v>
      </c>
      <c r="S21" s="28">
        <f>SUM('FY 2008 Rev 01-15-10'!F22:N22)</f>
        <v>3712959.5</v>
      </c>
      <c r="T21" s="28">
        <f>'FY 2008 Rev 01-15-10'!D22</f>
        <v>5028905.6100000003</v>
      </c>
      <c r="U21" s="12">
        <f t="shared" si="6"/>
        <v>0.73832356141597966</v>
      </c>
    </row>
    <row r="22" spans="1:21" ht="15.75" customHeight="1">
      <c r="A22" s="131" t="s">
        <v>3</v>
      </c>
      <c r="B22" s="131"/>
      <c r="C22" s="16">
        <f>'FY 2010 Rev as of 01-15-10'!E26</f>
        <v>8606066</v>
      </c>
      <c r="D22" s="28">
        <f>'FY2010 Rev as of 7-15-10'!D26</f>
        <v>4085530.95</v>
      </c>
      <c r="E22" s="12">
        <f t="shared" si="0"/>
        <v>0.47472689031201948</v>
      </c>
      <c r="F22" s="22">
        <f t="shared" si="1"/>
        <v>-2369018.5499999998</v>
      </c>
      <c r="G22" s="14">
        <f t="shared" si="7"/>
        <v>6454549.5</v>
      </c>
      <c r="H22" s="27">
        <f t="shared" si="2"/>
        <v>4520535.05</v>
      </c>
      <c r="I22" s="10">
        <v>0.75</v>
      </c>
      <c r="J22" s="21" t="str">
        <f t="shared" si="8"/>
        <v>Investment Revenue</v>
      </c>
      <c r="K22" s="16">
        <f t="shared" si="3"/>
        <v>8606066</v>
      </c>
      <c r="L22" s="28">
        <f t="shared" si="3"/>
        <v>4085530.95</v>
      </c>
      <c r="M22" s="12">
        <f t="shared" si="4"/>
        <v>0.47472689031201948</v>
      </c>
      <c r="N22" s="28">
        <f>'FY 2009 Rev 01-15-10'!E26</f>
        <v>9130674</v>
      </c>
      <c r="O22" s="28">
        <f>SUM('FY 2009 Rev 01-15-10'!F26:N26)</f>
        <v>6553315.0100000007</v>
      </c>
      <c r="P22" s="28">
        <f>'FY 2009 Rev 01-15-10'!D26</f>
        <v>8875084.7300000004</v>
      </c>
      <c r="Q22" s="12">
        <f t="shared" si="5"/>
        <v>0.73839464178276082</v>
      </c>
      <c r="R22" s="28">
        <f>'FY 2008 Rev 01-15-10'!E25</f>
        <v>13220197</v>
      </c>
      <c r="S22" s="28">
        <f>SUM('FY 2008 Rev 01-15-10'!F25:N25)</f>
        <v>12729550.369999999</v>
      </c>
      <c r="T22" s="28">
        <f>'FY 2008 Rev 01-15-10'!D25</f>
        <v>17328876.469999999</v>
      </c>
      <c r="U22" s="12">
        <f t="shared" si="6"/>
        <v>0.73458601843215743</v>
      </c>
    </row>
    <row r="23" spans="1:21" ht="15.75" customHeight="1" thickBot="1">
      <c r="A23" s="131" t="s">
        <v>27</v>
      </c>
      <c r="B23" s="131"/>
      <c r="C23" s="16">
        <f>'FY 2010 Rev as of 01-15-10'!E30+'FY 2010 Rev as of 01-15-10'!E36+'FY 2010 Rev as of 01-15-10'!E43</f>
        <v>29809162</v>
      </c>
      <c r="D23" s="28">
        <f>'FY2010 Rev as of 7-15-10'!D30+'FY2010 Rev as of 7-15-10'!D36+'FY2010 Rev as of 7-15-10'!D43</f>
        <v>29575891.690000001</v>
      </c>
      <c r="E23" s="12">
        <f t="shared" si="0"/>
        <v>0.99217454318239473</v>
      </c>
      <c r="F23" s="22">
        <f t="shared" si="1"/>
        <v>7219020.1900000013</v>
      </c>
      <c r="G23" s="14">
        <f t="shared" si="7"/>
        <v>22356871.5</v>
      </c>
      <c r="H23" s="27">
        <f t="shared" si="2"/>
        <v>233270.30999999866</v>
      </c>
      <c r="I23" s="10">
        <v>0.75</v>
      </c>
      <c r="J23" s="21" t="str">
        <f t="shared" si="8"/>
        <v>Miscellaneous</v>
      </c>
      <c r="K23" s="32">
        <f t="shared" si="3"/>
        <v>29809162</v>
      </c>
      <c r="L23" s="33">
        <f t="shared" si="3"/>
        <v>29575891.690000001</v>
      </c>
      <c r="M23" s="38">
        <f t="shared" si="4"/>
        <v>0.99217454318239473</v>
      </c>
      <c r="N23" s="33">
        <f>'FY 2009 Rev 01-15-10'!E30+'FY 2009 Rev 01-15-10'!E36+'FY 2009 Rev 01-15-10'!E43</f>
        <v>27526735</v>
      </c>
      <c r="O23" s="33">
        <f>SUM('FY 2009 Rev 01-15-10'!F30:N30,'FY 2009 Rev 01-15-10'!F36:N36,'FY 2009 Rev 01-15-10'!F43:N43)</f>
        <v>30987206.150000006</v>
      </c>
      <c r="P23" s="33">
        <f>'FY 2009 Rev 01-15-10'!D30+'FY 2009 Rev 01-15-10'!D36+'FY 2009 Rev 01-15-10'!D43</f>
        <v>134307912.17000002</v>
      </c>
      <c r="Q23" s="38">
        <f t="shared" si="5"/>
        <v>0.23071765206786926</v>
      </c>
      <c r="R23" s="33">
        <f>'FY 2008 Rev 01-15-10'!E29+'FY 2008 Rev 01-15-10'!E35+'FY 2008 Rev 01-15-10'!E41</f>
        <v>26955037</v>
      </c>
      <c r="S23" s="33">
        <f>SUM('FY 2008 Rev 01-15-10'!F29:N29,'FY 2008 Rev 01-15-10'!F35:N35,'FY 2008 Rev 01-15-10'!F41:N41)</f>
        <v>29731668.530000005</v>
      </c>
      <c r="T23" s="33">
        <f>'FY 2008 Rev 01-15-10'!D29+'FY 2008 Rev 01-15-10'!D35+'FY 2008 Rev 01-15-10'!D41</f>
        <v>103901511.08000001</v>
      </c>
      <c r="U23" s="38">
        <f t="shared" si="6"/>
        <v>0.2861524170433653</v>
      </c>
    </row>
    <row r="24" spans="1:21" ht="15.75" customHeight="1" thickBot="1">
      <c r="A24" s="137" t="s">
        <v>28</v>
      </c>
      <c r="B24" s="137"/>
      <c r="C24" s="11">
        <f>SUM(C17:C23)</f>
        <v>270401747</v>
      </c>
      <c r="D24" s="11">
        <f>SUM(D17:D23)</f>
        <v>248769096.45999998</v>
      </c>
      <c r="E24" s="12">
        <f t="shared" si="0"/>
        <v>0.91999811103291418</v>
      </c>
      <c r="F24" s="17">
        <f>SUM(F17:F23)</f>
        <v>45967786.210000023</v>
      </c>
      <c r="G24" s="14">
        <f t="shared" si="7"/>
        <v>202801310.25</v>
      </c>
      <c r="H24" s="27"/>
      <c r="J24" s="21"/>
      <c r="K24" s="31">
        <f>SUM(K17:K23)</f>
        <v>270401747</v>
      </c>
      <c r="L24" s="31">
        <f>SUM(L17:L23)</f>
        <v>248769096.45999998</v>
      </c>
      <c r="M24" s="39">
        <f t="shared" si="4"/>
        <v>0.91999811103291418</v>
      </c>
      <c r="N24" s="31">
        <f>SUM(N17:N23)</f>
        <v>263954864</v>
      </c>
      <c r="O24" s="31">
        <f>SUM(O17:O23)</f>
        <v>253155815.88</v>
      </c>
      <c r="P24" s="31">
        <f>SUM(P17:P23)</f>
        <v>380311182.38</v>
      </c>
      <c r="Q24" s="39">
        <f t="shared" si="5"/>
        <v>0.66565441041134399</v>
      </c>
      <c r="R24" s="31">
        <f>SUM(R17:R23)</f>
        <v>265564741</v>
      </c>
      <c r="S24" s="31">
        <f>SUM(S17:S23)</f>
        <v>255638808.97999999</v>
      </c>
      <c r="T24" s="31">
        <f>SUM(T17:T23)</f>
        <v>353529308.14999998</v>
      </c>
      <c r="U24" s="39">
        <f t="shared" si="6"/>
        <v>0.72310499606876799</v>
      </c>
    </row>
    <row r="25" spans="1:21" ht="22.5" customHeight="1" thickTop="1">
      <c r="J25" s="21"/>
      <c r="K25" s="26"/>
    </row>
    <row r="26" spans="1:21">
      <c r="J26" s="21"/>
      <c r="K26" s="26"/>
    </row>
    <row r="40" spans="1:11">
      <c r="J40" s="35"/>
      <c r="K40" s="35"/>
    </row>
    <row r="41" spans="1:11">
      <c r="J41" s="35"/>
      <c r="K41" s="35"/>
    </row>
    <row r="42" spans="1:11">
      <c r="J42" s="35"/>
      <c r="K42" s="35"/>
    </row>
    <row r="43" spans="1:11">
      <c r="J43" s="35"/>
      <c r="K43" s="35"/>
    </row>
    <row r="44" spans="1:11">
      <c r="J44" s="35"/>
      <c r="K44" s="35"/>
    </row>
    <row r="45" spans="1:11">
      <c r="J45" s="35"/>
      <c r="K45" s="35"/>
    </row>
    <row r="46" spans="1:11">
      <c r="J46" s="35"/>
      <c r="K46" s="35"/>
    </row>
    <row r="47" spans="1:11" ht="33" customHeight="1">
      <c r="A47" s="133" t="s">
        <v>130</v>
      </c>
      <c r="B47" s="133"/>
      <c r="C47" s="133"/>
      <c r="D47" s="133"/>
      <c r="E47" s="133"/>
      <c r="F47" s="133"/>
      <c r="J47" s="35"/>
      <c r="K47" s="35"/>
    </row>
    <row r="48" spans="1:11" ht="12" customHeight="1">
      <c r="B48" s="18"/>
      <c r="C48" s="18"/>
      <c r="D48" s="18"/>
      <c r="E48" s="18"/>
      <c r="J48" s="35"/>
      <c r="K48" s="35"/>
    </row>
    <row r="49" spans="1:26" ht="36" customHeight="1">
      <c r="A49" s="138"/>
      <c r="B49" s="138"/>
      <c r="C49" s="19" t="s">
        <v>94</v>
      </c>
      <c r="D49" s="19" t="s">
        <v>45</v>
      </c>
      <c r="E49" s="19" t="s">
        <v>25</v>
      </c>
      <c r="F49" s="9" t="s">
        <v>141</v>
      </c>
      <c r="G49" s="10">
        <v>0.75</v>
      </c>
      <c r="H49" s="2" t="s">
        <v>43</v>
      </c>
      <c r="K49" s="40" t="s">
        <v>94</v>
      </c>
      <c r="L49" s="36" t="s">
        <v>108</v>
      </c>
      <c r="M49" s="37">
        <v>2010</v>
      </c>
      <c r="N49" s="36" t="s">
        <v>109</v>
      </c>
      <c r="O49" s="36" t="s">
        <v>1</v>
      </c>
      <c r="P49" s="36" t="s">
        <v>142</v>
      </c>
      <c r="Q49" s="37">
        <v>2009</v>
      </c>
      <c r="R49" s="36" t="s">
        <v>111</v>
      </c>
      <c r="S49" s="36">
        <v>2009</v>
      </c>
      <c r="T49" s="36" t="s">
        <v>112</v>
      </c>
      <c r="U49" s="36" t="s">
        <v>104</v>
      </c>
      <c r="V49" s="36" t="s">
        <v>143</v>
      </c>
      <c r="W49" s="37">
        <v>2008</v>
      </c>
      <c r="X49" s="36" t="s">
        <v>114</v>
      </c>
      <c r="Y49" s="36">
        <v>2008</v>
      </c>
      <c r="Z49" s="36" t="s">
        <v>115</v>
      </c>
    </row>
    <row r="50" spans="1:26" ht="15.75" customHeight="1">
      <c r="A50" s="135" t="s">
        <v>29</v>
      </c>
      <c r="B50" s="136"/>
      <c r="C50" s="11">
        <f>'FY 2010 Exp as of 01-15-10'!C2</f>
        <v>346531</v>
      </c>
      <c r="D50" s="11">
        <f>'FY2010 Exp as of 7-15-10'!E2</f>
        <v>202151.94</v>
      </c>
      <c r="E50" s="12">
        <f t="shared" ref="E50:E63" si="9">(D50/C50)</f>
        <v>0.58335889141231234</v>
      </c>
      <c r="F50" s="11">
        <f>+G50-D50</f>
        <v>57746.31</v>
      </c>
      <c r="G50" s="23">
        <f>C50*0.75</f>
        <v>259898.25</v>
      </c>
      <c r="H50" s="24">
        <f t="shared" ref="H50:H62" si="10">C50-D50</f>
        <v>144379.06</v>
      </c>
      <c r="I50" s="1">
        <v>0.75</v>
      </c>
      <c r="J50" s="35" t="s">
        <v>29</v>
      </c>
      <c r="K50" s="13">
        <f>C50</f>
        <v>346531</v>
      </c>
      <c r="L50" s="13">
        <f>D50</f>
        <v>202151.94</v>
      </c>
      <c r="M50" s="41">
        <f t="shared" ref="M50:M63" si="11">(L50/K50)</f>
        <v>0.58335889141231234</v>
      </c>
      <c r="N50" s="13">
        <f>K50-L50</f>
        <v>144379.06</v>
      </c>
      <c r="O50" s="13">
        <f>'FY 2009 Exp 01-15-10'!C2</f>
        <v>351630</v>
      </c>
      <c r="P50" s="13">
        <f>SUM('FY 2009 Exp 01-15-10'!F2:N2)</f>
        <v>222682.82</v>
      </c>
      <c r="Q50" s="41">
        <f>P50/O50</f>
        <v>0.63328731905696334</v>
      </c>
      <c r="R50" s="13">
        <f>'FY 2009 Exp 01-15-10'!D2</f>
        <v>525313</v>
      </c>
      <c r="S50" s="41">
        <f>P50/R50</f>
        <v>0.42390502424268961</v>
      </c>
      <c r="T50" s="13">
        <f>O50-P50</f>
        <v>128947.18</v>
      </c>
      <c r="U50" s="13">
        <f>'FY 2008 Exp 01-15-10'!C2</f>
        <v>370277</v>
      </c>
      <c r="V50" s="13">
        <f>SUM('FY 2008 Exp 01-15-10'!F2:N2)</f>
        <v>253196.29</v>
      </c>
      <c r="W50" s="41">
        <f>V50/U50</f>
        <v>0.68380236957737051</v>
      </c>
      <c r="X50" s="13">
        <f>'FY 2008 Exp 01-15-10'!D2</f>
        <v>727556</v>
      </c>
      <c r="Y50" s="41">
        <f>V50/X50</f>
        <v>0.34800934910852221</v>
      </c>
      <c r="Z50" s="13">
        <f>U50-V50</f>
        <v>117080.70999999999</v>
      </c>
    </row>
    <row r="51" spans="1:26" ht="15.75" customHeight="1">
      <c r="A51" s="135" t="s">
        <v>116</v>
      </c>
      <c r="B51" s="136"/>
      <c r="C51" s="28">
        <f>'FY 2010 Exp as of 01-15-10'!C3</f>
        <v>1078918</v>
      </c>
      <c r="D51" s="28">
        <f>'FY2010 Exp as of 7-15-10'!E3</f>
        <v>1981304.88</v>
      </c>
      <c r="E51" s="12">
        <f t="shared" si="9"/>
        <v>1.8363813375993354</v>
      </c>
      <c r="F51" s="28">
        <f t="shared" ref="F51:F63" si="12">+G51-D51</f>
        <v>-1172116.3799999999</v>
      </c>
      <c r="G51" s="23">
        <f t="shared" ref="G51:G63" si="13">C51*0.75</f>
        <v>809188.5</v>
      </c>
      <c r="H51" s="24">
        <v>0</v>
      </c>
      <c r="I51" s="1">
        <v>0.75</v>
      </c>
      <c r="J51" s="35" t="s">
        <v>116</v>
      </c>
      <c r="K51" s="42">
        <f>C51</f>
        <v>1078918</v>
      </c>
      <c r="L51" s="42">
        <f t="shared" ref="L51:L62" si="14">D51</f>
        <v>1981304.88</v>
      </c>
      <c r="M51" s="41">
        <f t="shared" si="11"/>
        <v>1.8363813375993354</v>
      </c>
      <c r="N51" s="42">
        <f t="shared" ref="N51:N62" si="15">K51-L51</f>
        <v>-902386.87999999989</v>
      </c>
      <c r="O51" s="42">
        <f>'FY 2009 Exp 01-15-10'!C3</f>
        <v>1209220</v>
      </c>
      <c r="P51" s="42">
        <f>SUM('FY 2009 Exp 01-15-10'!F3:N3)</f>
        <v>2196539.5300000003</v>
      </c>
      <c r="Q51" s="41">
        <f t="shared" ref="Q51:Q63" si="16">P51/O51</f>
        <v>1.8164928879773741</v>
      </c>
      <c r="R51" s="42">
        <f>'FY 2009 Exp 01-15-10'!D3</f>
        <v>1275791</v>
      </c>
      <c r="S51" s="41">
        <f t="shared" ref="S51:S63" si="17">P51/R51</f>
        <v>1.7217079678411278</v>
      </c>
      <c r="T51" s="42">
        <f t="shared" ref="T51:T62" si="18">O51-P51</f>
        <v>-987319.53000000026</v>
      </c>
      <c r="U51" s="42">
        <f>'FY 2008 Exp 01-15-10'!C3</f>
        <v>1199159</v>
      </c>
      <c r="V51" s="42">
        <f>SUM('FY 2008 Exp 01-15-10'!F3:N3)</f>
        <v>1493205.77</v>
      </c>
      <c r="W51" s="41">
        <f t="shared" ref="W51:W63" si="19">V51/U51</f>
        <v>1.2452108269212006</v>
      </c>
      <c r="X51" s="42">
        <f>'FY 2008 Exp 01-15-10'!D3</f>
        <v>1238216</v>
      </c>
      <c r="Y51" s="41">
        <f t="shared" ref="Y51:Y63" si="20">V51/X51</f>
        <v>1.2059331893627607</v>
      </c>
      <c r="Z51" s="13">
        <f t="shared" ref="Z51:Z62" si="21">U51-V51</f>
        <v>-294046.77</v>
      </c>
    </row>
    <row r="52" spans="1:26" ht="15.75" customHeight="1">
      <c r="A52" s="135" t="s">
        <v>131</v>
      </c>
      <c r="B52" s="136"/>
      <c r="C52" s="28">
        <f>'FY 2010 Exp as of 01-15-10'!C4</f>
        <v>43665123</v>
      </c>
      <c r="D52" s="28">
        <f>'FY2010 Exp as of 7-15-10'!E4</f>
        <v>35056726.109999999</v>
      </c>
      <c r="E52" s="12">
        <f t="shared" si="9"/>
        <v>0.80285417059285502</v>
      </c>
      <c r="F52" s="28">
        <f t="shared" si="12"/>
        <v>-2307883.8599999994</v>
      </c>
      <c r="G52" s="23">
        <f t="shared" si="13"/>
        <v>32748842.25</v>
      </c>
      <c r="H52" s="25">
        <f t="shared" si="10"/>
        <v>8608396.8900000006</v>
      </c>
      <c r="I52" s="1">
        <v>0.75</v>
      </c>
      <c r="J52" s="35" t="s">
        <v>131</v>
      </c>
      <c r="K52" s="42">
        <f t="shared" ref="K52:K62" si="22">C52</f>
        <v>43665123</v>
      </c>
      <c r="L52" s="42">
        <f t="shared" si="14"/>
        <v>35056726.109999999</v>
      </c>
      <c r="M52" s="41">
        <f t="shared" si="11"/>
        <v>0.80285417059285502</v>
      </c>
      <c r="N52" s="42">
        <f t="shared" si="15"/>
        <v>8608396.8900000006</v>
      </c>
      <c r="O52" s="42">
        <f>'FY 2009 Exp 01-15-10'!C4</f>
        <v>42789548</v>
      </c>
      <c r="P52" s="42">
        <f>SUM('FY 2009 Exp 01-15-10'!F4:N4)</f>
        <v>34012144.530000001</v>
      </c>
      <c r="Q52" s="41">
        <f t="shared" si="16"/>
        <v>0.79487038587086734</v>
      </c>
      <c r="R52" s="42">
        <f>'FY 2009 Exp 01-15-10'!D4</f>
        <v>47916306</v>
      </c>
      <c r="S52" s="41">
        <f t="shared" si="17"/>
        <v>0.70982401126664485</v>
      </c>
      <c r="T52" s="42">
        <f t="shared" si="18"/>
        <v>8777403.4699999988</v>
      </c>
      <c r="U52" s="42">
        <f>'FY 2008 Exp 01-15-10'!C4</f>
        <v>39688692</v>
      </c>
      <c r="V52" s="42">
        <f>SUM('FY 2008 Exp 01-15-10'!F4:N4)</f>
        <v>31669868.079999998</v>
      </c>
      <c r="W52" s="41">
        <f t="shared" si="19"/>
        <v>0.79795696164539764</v>
      </c>
      <c r="X52" s="42">
        <f>'FY 2008 Exp 01-15-10'!D4</f>
        <v>50299627</v>
      </c>
      <c r="Y52" s="41">
        <f t="shared" si="20"/>
        <v>0.62962431272104658</v>
      </c>
      <c r="Z52" s="13">
        <f t="shared" si="21"/>
        <v>8018823.9200000018</v>
      </c>
    </row>
    <row r="53" spans="1:26" ht="15.75" customHeight="1">
      <c r="A53" s="135" t="s">
        <v>30</v>
      </c>
      <c r="B53" s="136"/>
      <c r="C53" s="28">
        <f>'FY 2010 Exp as of 01-15-10'!C5</f>
        <v>3263326</v>
      </c>
      <c r="D53" s="28">
        <f>'FY2010 Exp as of 7-15-10'!E5</f>
        <v>2325326.02</v>
      </c>
      <c r="E53" s="12">
        <f t="shared" si="9"/>
        <v>0.71256320085703972</v>
      </c>
      <c r="F53" s="28">
        <f t="shared" si="12"/>
        <v>122168.47999999998</v>
      </c>
      <c r="G53" s="23">
        <f t="shared" si="13"/>
        <v>2447494.5</v>
      </c>
      <c r="H53" s="25">
        <f t="shared" si="10"/>
        <v>937999.98</v>
      </c>
      <c r="I53" s="1">
        <v>0.75</v>
      </c>
      <c r="J53" s="35" t="s">
        <v>30</v>
      </c>
      <c r="K53" s="42">
        <f t="shared" si="22"/>
        <v>3263326</v>
      </c>
      <c r="L53" s="42">
        <f t="shared" si="14"/>
        <v>2325326.02</v>
      </c>
      <c r="M53" s="41">
        <f t="shared" si="11"/>
        <v>0.71256320085703972</v>
      </c>
      <c r="N53" s="42">
        <f t="shared" si="15"/>
        <v>937999.98</v>
      </c>
      <c r="O53" s="42">
        <f>'FY 2009 Exp 01-15-10'!C5</f>
        <v>3360551</v>
      </c>
      <c r="P53" s="42">
        <f>SUM('FY 2009 Exp 01-15-10'!F5:N5)</f>
        <v>2762080.41</v>
      </c>
      <c r="Q53" s="41">
        <f t="shared" si="16"/>
        <v>0.82191295713113721</v>
      </c>
      <c r="R53" s="42">
        <f>'FY 2009 Exp 01-15-10'!D5</f>
        <v>3318332</v>
      </c>
      <c r="S53" s="41">
        <f t="shared" si="17"/>
        <v>0.83237012149477518</v>
      </c>
      <c r="T53" s="42">
        <f t="shared" si="18"/>
        <v>598470.58999999985</v>
      </c>
      <c r="U53" s="42">
        <f>'FY 2008 Exp 01-15-10'!C5</f>
        <v>2433415</v>
      </c>
      <c r="V53" s="42">
        <f>SUM('FY 2008 Exp 01-15-10'!F5:N5)</f>
        <v>2078991.9600000002</v>
      </c>
      <c r="W53" s="41">
        <f t="shared" si="19"/>
        <v>0.85435158409067102</v>
      </c>
      <c r="X53" s="42">
        <f>'FY 2008 Exp 01-15-10'!D5</f>
        <v>3139760</v>
      </c>
      <c r="Y53" s="41">
        <f t="shared" si="20"/>
        <v>0.66214996050653563</v>
      </c>
      <c r="Z53" s="13">
        <f t="shared" si="21"/>
        <v>354423.0399999998</v>
      </c>
    </row>
    <row r="54" spans="1:26" ht="15.75" customHeight="1">
      <c r="A54" s="135" t="s">
        <v>15</v>
      </c>
      <c r="B54" s="136"/>
      <c r="C54" s="28">
        <f>'FY 2010 Exp as of 01-15-10'!C6</f>
        <v>10604579</v>
      </c>
      <c r="D54" s="28">
        <f>'FY2010 Exp as of 7-15-10'!E6</f>
        <v>7648186.1399999997</v>
      </c>
      <c r="E54" s="12">
        <f t="shared" si="9"/>
        <v>0.7212154428761387</v>
      </c>
      <c r="F54" s="28">
        <f t="shared" si="12"/>
        <v>305248.11000000034</v>
      </c>
      <c r="G54" s="23">
        <f t="shared" si="13"/>
        <v>7953434.25</v>
      </c>
      <c r="H54" s="25">
        <f t="shared" si="10"/>
        <v>2956392.8600000003</v>
      </c>
      <c r="I54" s="1">
        <v>0.75</v>
      </c>
      <c r="J54" s="35" t="s">
        <v>15</v>
      </c>
      <c r="K54" s="42">
        <f t="shared" si="22"/>
        <v>10604579</v>
      </c>
      <c r="L54" s="42">
        <f t="shared" si="14"/>
        <v>7648186.1399999997</v>
      </c>
      <c r="M54" s="41">
        <f t="shared" si="11"/>
        <v>0.7212154428761387</v>
      </c>
      <c r="N54" s="42">
        <f t="shared" si="15"/>
        <v>2956392.8600000003</v>
      </c>
      <c r="O54" s="42">
        <f>'FY 2009 Exp 01-15-10'!C6</f>
        <v>10906229</v>
      </c>
      <c r="P54" s="42">
        <f>SUM('FY 2009 Exp 01-15-10'!F6:N6)</f>
        <v>7281216.5200000005</v>
      </c>
      <c r="Q54" s="41">
        <f t="shared" si="16"/>
        <v>0.66761999220812263</v>
      </c>
      <c r="R54" s="42">
        <f>'FY 2009 Exp 01-15-10'!D6</f>
        <v>11732575</v>
      </c>
      <c r="S54" s="41">
        <f t="shared" si="17"/>
        <v>0.62059833582994361</v>
      </c>
      <c r="T54" s="42">
        <f t="shared" si="18"/>
        <v>3625012.4799999995</v>
      </c>
      <c r="U54" s="42">
        <f>'FY 2008 Exp 01-15-10'!C6</f>
        <v>9925189</v>
      </c>
      <c r="V54" s="42">
        <f>SUM('FY 2008 Exp 01-15-10'!F6:N6)</f>
        <v>6772283.8600000003</v>
      </c>
      <c r="W54" s="41">
        <f t="shared" si="19"/>
        <v>0.68233298731137515</v>
      </c>
      <c r="X54" s="42">
        <f>'FY 2008 Exp 01-15-10'!D6</f>
        <v>10236244</v>
      </c>
      <c r="Y54" s="41">
        <f t="shared" si="20"/>
        <v>0.66159851797202185</v>
      </c>
      <c r="Z54" s="13">
        <f t="shared" si="21"/>
        <v>3152905.1399999997</v>
      </c>
    </row>
    <row r="55" spans="1:26" ht="15.75" customHeight="1">
      <c r="A55" s="135" t="s">
        <v>14</v>
      </c>
      <c r="B55" s="136"/>
      <c r="C55" s="28">
        <f>'FY 2010 Exp as of 01-15-10'!C7</f>
        <v>40714461</v>
      </c>
      <c r="D55" s="28">
        <f>'FY2010 Exp as of 7-15-10'!E7</f>
        <v>26634545.899999999</v>
      </c>
      <c r="E55" s="12">
        <f t="shared" si="9"/>
        <v>0.65417901271000489</v>
      </c>
      <c r="F55" s="28">
        <f t="shared" si="12"/>
        <v>3901299.8500000015</v>
      </c>
      <c r="G55" s="23">
        <f t="shared" si="13"/>
        <v>30535845.75</v>
      </c>
      <c r="H55" s="25">
        <f t="shared" si="10"/>
        <v>14079915.100000001</v>
      </c>
      <c r="I55" s="1">
        <v>0.75</v>
      </c>
      <c r="J55" s="35" t="s">
        <v>14</v>
      </c>
      <c r="K55" s="42">
        <f t="shared" si="22"/>
        <v>40714461</v>
      </c>
      <c r="L55" s="42">
        <f t="shared" si="14"/>
        <v>26634545.899999999</v>
      </c>
      <c r="M55" s="41">
        <f t="shared" si="11"/>
        <v>0.65417901271000489</v>
      </c>
      <c r="N55" s="42">
        <f t="shared" si="15"/>
        <v>14079915.100000001</v>
      </c>
      <c r="O55" s="42">
        <f>'FY 2009 Exp 01-15-10'!C7</f>
        <v>39128938</v>
      </c>
      <c r="P55" s="42">
        <f>SUM('FY 2009 Exp 01-15-10'!F7:N7)</f>
        <v>22492560.529999997</v>
      </c>
      <c r="Q55" s="41">
        <f t="shared" si="16"/>
        <v>0.57483186816877063</v>
      </c>
      <c r="R55" s="42">
        <f>'FY 2009 Exp 01-15-10'!D7</f>
        <v>41658952</v>
      </c>
      <c r="S55" s="41">
        <f t="shared" si="17"/>
        <v>0.53992142025080225</v>
      </c>
      <c r="T55" s="42">
        <f t="shared" si="18"/>
        <v>16636377.470000003</v>
      </c>
      <c r="U55" s="42">
        <f>'FY 2008 Exp 01-15-10'!C7</f>
        <v>37639150</v>
      </c>
      <c r="V55" s="42">
        <f>SUM('FY 2008 Exp 01-15-10'!F7:N7)</f>
        <v>20852863.25</v>
      </c>
      <c r="W55" s="41">
        <f t="shared" si="19"/>
        <v>0.5540205676801947</v>
      </c>
      <c r="X55" s="42">
        <f>'FY 2008 Exp 01-15-10'!D7</f>
        <v>36096874</v>
      </c>
      <c r="Y55" s="41">
        <f t="shared" si="20"/>
        <v>0.57769166521178539</v>
      </c>
      <c r="Z55" s="13">
        <f t="shared" si="21"/>
        <v>16786286.75</v>
      </c>
    </row>
    <row r="56" spans="1:26" ht="15.75" customHeight="1">
      <c r="A56" s="135" t="s">
        <v>117</v>
      </c>
      <c r="B56" s="136"/>
      <c r="C56" s="28">
        <f>'FY 2010 Exp as of 01-15-10'!C8</f>
        <v>17404071</v>
      </c>
      <c r="D56" s="28">
        <f>'FY2010 Exp as of 7-15-10'!E8</f>
        <v>13766280.4</v>
      </c>
      <c r="E56" s="12">
        <f t="shared" si="9"/>
        <v>0.79098047807320482</v>
      </c>
      <c r="F56" s="28">
        <f t="shared" si="12"/>
        <v>-713227.15000000037</v>
      </c>
      <c r="G56" s="23">
        <f t="shared" si="13"/>
        <v>13053053.25</v>
      </c>
      <c r="H56" s="25">
        <f t="shared" si="10"/>
        <v>3637790.5999999996</v>
      </c>
      <c r="I56" s="1">
        <v>0.75</v>
      </c>
      <c r="J56" s="35" t="s">
        <v>117</v>
      </c>
      <c r="K56" s="42">
        <f t="shared" si="22"/>
        <v>17404071</v>
      </c>
      <c r="L56" s="42">
        <f t="shared" si="14"/>
        <v>13766280.4</v>
      </c>
      <c r="M56" s="41">
        <f t="shared" si="11"/>
        <v>0.79098047807320482</v>
      </c>
      <c r="N56" s="42">
        <f t="shared" si="15"/>
        <v>3637790.5999999996</v>
      </c>
      <c r="O56" s="42">
        <f>'FY 2009 Exp 01-15-10'!C8</f>
        <v>17368061</v>
      </c>
      <c r="P56" s="42">
        <f>SUM('FY 2009 Exp 01-15-10'!F8:N8)</f>
        <v>12133592.5</v>
      </c>
      <c r="Q56" s="41">
        <f t="shared" si="16"/>
        <v>0.69861526280912989</v>
      </c>
      <c r="R56" s="42">
        <f>'FY 2009 Exp 01-15-10'!D8</f>
        <v>17937753</v>
      </c>
      <c r="S56" s="41">
        <f t="shared" si="17"/>
        <v>0.67642767184942287</v>
      </c>
      <c r="T56" s="42">
        <f t="shared" si="18"/>
        <v>5234468.5</v>
      </c>
      <c r="U56" s="42">
        <f>'FY 2008 Exp 01-15-10'!C8</f>
        <v>17183257</v>
      </c>
      <c r="V56" s="42">
        <f>SUM('FY 2008 Exp 01-15-10'!F8:N8)</f>
        <v>12053063.74</v>
      </c>
      <c r="W56" s="41">
        <f t="shared" si="19"/>
        <v>0.70144232493292746</v>
      </c>
      <c r="X56" s="42">
        <f>'FY 2008 Exp 01-15-10'!D8</f>
        <v>15836617</v>
      </c>
      <c r="Y56" s="41">
        <f t="shared" si="20"/>
        <v>0.76108828924763416</v>
      </c>
      <c r="Z56" s="13">
        <f t="shared" si="21"/>
        <v>5130193.26</v>
      </c>
    </row>
    <row r="57" spans="1:26" ht="15.75" customHeight="1">
      <c r="A57" s="135" t="s">
        <v>31</v>
      </c>
      <c r="B57" s="136"/>
      <c r="C57" s="28">
        <f>'FY 2010 Exp as of 01-15-10'!C9</f>
        <v>17413314</v>
      </c>
      <c r="D57" s="28">
        <f>'FY2010 Exp as of 7-15-10'!E9</f>
        <v>11991182.59</v>
      </c>
      <c r="E57" s="12">
        <f t="shared" si="9"/>
        <v>0.68862151052924214</v>
      </c>
      <c r="F57" s="28">
        <f t="shared" si="12"/>
        <v>1068802.9100000001</v>
      </c>
      <c r="G57" s="23">
        <f t="shared" si="13"/>
        <v>13059985.5</v>
      </c>
      <c r="H57" s="25">
        <f t="shared" si="10"/>
        <v>5422131.4100000001</v>
      </c>
      <c r="I57" s="1">
        <v>0.75</v>
      </c>
      <c r="J57" s="35" t="s">
        <v>31</v>
      </c>
      <c r="K57" s="42">
        <f t="shared" si="22"/>
        <v>17413314</v>
      </c>
      <c r="L57" s="42">
        <f t="shared" si="14"/>
        <v>11991182.59</v>
      </c>
      <c r="M57" s="41">
        <f t="shared" si="11"/>
        <v>0.68862151052924214</v>
      </c>
      <c r="N57" s="42">
        <f t="shared" si="15"/>
        <v>5422131.4100000001</v>
      </c>
      <c r="O57" s="42">
        <f>'FY 2009 Exp 01-15-10'!C9</f>
        <v>17278014</v>
      </c>
      <c r="P57" s="42">
        <f>SUM('FY 2009 Exp 01-15-10'!F9:N9)</f>
        <v>11419344.209999999</v>
      </c>
      <c r="Q57" s="41">
        <f t="shared" si="16"/>
        <v>0.66091763845080798</v>
      </c>
      <c r="R57" s="42">
        <f>'FY 2009 Exp 01-15-10'!D9</f>
        <v>17898937</v>
      </c>
      <c r="S57" s="41">
        <f t="shared" si="17"/>
        <v>0.63799007784652229</v>
      </c>
      <c r="T57" s="42">
        <f t="shared" si="18"/>
        <v>5858669.790000001</v>
      </c>
      <c r="U57" s="42">
        <f>'FY 2008 Exp 01-15-10'!C9</f>
        <v>16892588</v>
      </c>
      <c r="V57" s="42">
        <f>SUM('FY 2008 Exp 01-15-10'!F9:N9)</f>
        <v>11241321.18</v>
      </c>
      <c r="W57" s="41">
        <f t="shared" si="19"/>
        <v>0.66545879056542434</v>
      </c>
      <c r="X57" s="42">
        <f>'FY 2008 Exp 01-15-10'!D9</f>
        <v>17511804</v>
      </c>
      <c r="Y57" s="41">
        <f t="shared" si="20"/>
        <v>0.6419282205305632</v>
      </c>
      <c r="Z57" s="13">
        <f t="shared" si="21"/>
        <v>5651266.8200000003</v>
      </c>
    </row>
    <row r="58" spans="1:26" ht="15.75" customHeight="1">
      <c r="A58" s="135" t="s">
        <v>32</v>
      </c>
      <c r="B58" s="136"/>
      <c r="C58" s="28">
        <f>'FY 2010 Exp as of 01-15-10'!C10</f>
        <v>10775827</v>
      </c>
      <c r="D58" s="28">
        <f>'FY2010 Exp as of 7-15-10'!E10</f>
        <v>7962812.9000000004</v>
      </c>
      <c r="E58" s="12">
        <f t="shared" si="9"/>
        <v>0.73895144196357276</v>
      </c>
      <c r="F58" s="28">
        <f t="shared" si="12"/>
        <v>119057.34999999963</v>
      </c>
      <c r="G58" s="23">
        <f t="shared" si="13"/>
        <v>8081870.25</v>
      </c>
      <c r="H58" s="25">
        <f t="shared" si="10"/>
        <v>2813014.0999999996</v>
      </c>
      <c r="I58" s="1">
        <v>0.75</v>
      </c>
      <c r="J58" s="35" t="s">
        <v>32</v>
      </c>
      <c r="K58" s="42">
        <f t="shared" si="22"/>
        <v>10775827</v>
      </c>
      <c r="L58" s="42">
        <f t="shared" si="14"/>
        <v>7962812.9000000004</v>
      </c>
      <c r="M58" s="41">
        <f t="shared" si="11"/>
        <v>0.73895144196357276</v>
      </c>
      <c r="N58" s="42">
        <f t="shared" si="15"/>
        <v>2813014.0999999996</v>
      </c>
      <c r="O58" s="42">
        <f>'FY 2009 Exp 01-15-10'!C10</f>
        <v>10462445</v>
      </c>
      <c r="P58" s="42">
        <f>SUM('FY 2009 Exp 01-15-10'!F10:N10)</f>
        <v>7385814.9500000002</v>
      </c>
      <c r="Q58" s="41">
        <f t="shared" si="16"/>
        <v>0.70593584482403493</v>
      </c>
      <c r="R58" s="42">
        <f>'FY 2009 Exp 01-15-10'!D10</f>
        <v>10559987</v>
      </c>
      <c r="S58" s="41">
        <f t="shared" si="17"/>
        <v>0.69941515553002098</v>
      </c>
      <c r="T58" s="42">
        <f t="shared" si="18"/>
        <v>3076630.05</v>
      </c>
      <c r="U58" s="42">
        <f>'FY 2008 Exp 01-15-10'!C10</f>
        <v>10123030</v>
      </c>
      <c r="V58" s="42">
        <f>SUM('FY 2008 Exp 01-15-10'!F10:N10)</f>
        <v>7177177.6799999997</v>
      </c>
      <c r="W58" s="41">
        <f t="shared" si="19"/>
        <v>0.70899500248443403</v>
      </c>
      <c r="X58" s="42">
        <f>'FY 2008 Exp 01-15-10'!D10</f>
        <v>10223818</v>
      </c>
      <c r="Y58" s="41">
        <f t="shared" si="20"/>
        <v>0.70200561864461986</v>
      </c>
      <c r="Z58" s="13">
        <f t="shared" si="21"/>
        <v>2945852.3200000003</v>
      </c>
    </row>
    <row r="59" spans="1:26" ht="15.75" customHeight="1">
      <c r="A59" s="135" t="s">
        <v>33</v>
      </c>
      <c r="B59" s="136"/>
      <c r="C59" s="28">
        <f>'FY 2010 Exp as of 01-15-10'!C11</f>
        <v>13414559</v>
      </c>
      <c r="D59" s="28">
        <f>'FY2010 Exp as of 7-15-10'!E11</f>
        <v>12073599.41</v>
      </c>
      <c r="E59" s="12">
        <f t="shared" si="9"/>
        <v>0.9000369978618008</v>
      </c>
      <c r="F59" s="28">
        <f t="shared" si="12"/>
        <v>-2012680.1600000001</v>
      </c>
      <c r="G59" s="23">
        <f t="shared" si="13"/>
        <v>10060919.25</v>
      </c>
      <c r="H59" s="25">
        <f t="shared" si="10"/>
        <v>1340959.5899999999</v>
      </c>
      <c r="I59" s="1">
        <v>0.75</v>
      </c>
      <c r="J59" s="35" t="s">
        <v>33</v>
      </c>
      <c r="K59" s="42">
        <f t="shared" si="22"/>
        <v>13414559</v>
      </c>
      <c r="L59" s="42">
        <f t="shared" si="14"/>
        <v>12073599.41</v>
      </c>
      <c r="M59" s="41">
        <f t="shared" si="11"/>
        <v>0.9000369978618008</v>
      </c>
      <c r="N59" s="42">
        <f t="shared" si="15"/>
        <v>1340959.5899999999</v>
      </c>
      <c r="O59" s="42">
        <f>'FY 2009 Exp 01-15-10'!C11</f>
        <v>13483773</v>
      </c>
      <c r="P59" s="42">
        <f>SUM('FY 2009 Exp 01-15-10'!F11:N11)</f>
        <v>16032630.470000003</v>
      </c>
      <c r="Q59" s="41">
        <f t="shared" si="16"/>
        <v>1.1890314728674238</v>
      </c>
      <c r="R59" s="42">
        <f>'FY 2009 Exp 01-15-10'!D11</f>
        <v>25988724</v>
      </c>
      <c r="S59" s="41">
        <f t="shared" si="17"/>
        <v>0.61690718136065481</v>
      </c>
      <c r="T59" s="42">
        <f t="shared" si="18"/>
        <v>-2548857.4700000025</v>
      </c>
      <c r="U59" s="42">
        <f>'FY 2008 Exp 01-15-10'!C11</f>
        <v>13190056</v>
      </c>
      <c r="V59" s="42">
        <f>SUM('FY 2008 Exp 01-15-10'!F11:N11)</f>
        <v>19296970.68</v>
      </c>
      <c r="W59" s="41">
        <f t="shared" si="19"/>
        <v>1.4629938402081082</v>
      </c>
      <c r="X59" s="42">
        <f>'FY 2008 Exp 01-15-10'!D11</f>
        <v>40957636</v>
      </c>
      <c r="Y59" s="41">
        <f t="shared" si="20"/>
        <v>0.47114464028148501</v>
      </c>
      <c r="Z59" s="13">
        <f t="shared" si="21"/>
        <v>-6106914.6799999997</v>
      </c>
    </row>
    <row r="60" spans="1:26" ht="15.75" customHeight="1">
      <c r="A60" s="135" t="s">
        <v>34</v>
      </c>
      <c r="B60" s="136"/>
      <c r="C60" s="28">
        <f>'FY 2010 Exp as of 01-15-10'!C12</f>
        <v>65544767</v>
      </c>
      <c r="D60" s="28">
        <f>'FY2010 Exp as of 7-15-10'!E12</f>
        <v>48274052.920000002</v>
      </c>
      <c r="E60" s="12">
        <f t="shared" si="9"/>
        <v>0.73650506561416262</v>
      </c>
      <c r="F60" s="28">
        <f t="shared" si="12"/>
        <v>884522.32999999821</v>
      </c>
      <c r="G60" s="23">
        <f t="shared" si="13"/>
        <v>49158575.25</v>
      </c>
      <c r="H60" s="25">
        <f t="shared" si="10"/>
        <v>17270714.079999998</v>
      </c>
      <c r="I60" s="1">
        <v>0.75</v>
      </c>
      <c r="J60" s="35" t="s">
        <v>34</v>
      </c>
      <c r="K60" s="42">
        <f t="shared" si="22"/>
        <v>65544767</v>
      </c>
      <c r="L60" s="42">
        <f t="shared" si="14"/>
        <v>48274052.920000002</v>
      </c>
      <c r="M60" s="41">
        <f t="shared" si="11"/>
        <v>0.73650506561416262</v>
      </c>
      <c r="N60" s="42">
        <f t="shared" si="15"/>
        <v>17270714.079999998</v>
      </c>
      <c r="O60" s="42">
        <f>'FY 2009 Exp 01-15-10'!C12</f>
        <v>65608655</v>
      </c>
      <c r="P60" s="42">
        <f>SUM('FY 2009 Exp 01-15-10'!F12:N12)</f>
        <v>45457467.979999997</v>
      </c>
      <c r="Q60" s="41">
        <f t="shared" si="16"/>
        <v>0.69285779414316595</v>
      </c>
      <c r="R60" s="42">
        <f>'FY 2009 Exp 01-15-10'!D12</f>
        <v>58058647</v>
      </c>
      <c r="S60" s="41">
        <f t="shared" si="17"/>
        <v>0.78295775614612573</v>
      </c>
      <c r="T60" s="42">
        <f t="shared" si="18"/>
        <v>20151187.020000003</v>
      </c>
      <c r="U60" s="42">
        <f>'FY 2008 Exp 01-15-10'!C12</f>
        <v>64075535</v>
      </c>
      <c r="V60" s="42">
        <f>SUM('FY 2008 Exp 01-15-10'!F12:N12)</f>
        <v>45769706.790000007</v>
      </c>
      <c r="W60" s="41">
        <f t="shared" si="19"/>
        <v>0.71430861700959669</v>
      </c>
      <c r="X60" s="42">
        <f>'FY 2008 Exp 01-15-10'!D12</f>
        <v>57996969</v>
      </c>
      <c r="Y60" s="41">
        <f t="shared" si="20"/>
        <v>0.78917411684048533</v>
      </c>
      <c r="Z60" s="13">
        <f t="shared" si="21"/>
        <v>18305828.209999993</v>
      </c>
    </row>
    <row r="61" spans="1:26" ht="15.75" customHeight="1">
      <c r="A61" s="135" t="s">
        <v>132</v>
      </c>
      <c r="B61" s="136"/>
      <c r="C61" s="28">
        <f>'FY 2010 Exp as of 01-15-10'!C13</f>
        <v>19347332</v>
      </c>
      <c r="D61" s="28">
        <f>'FY2010 Exp as of 7-15-10'!E13</f>
        <v>45912993.799999997</v>
      </c>
      <c r="E61" s="12">
        <f t="shared" si="9"/>
        <v>2.3730917420551836</v>
      </c>
      <c r="F61" s="28">
        <f t="shared" si="12"/>
        <v>-31402494.799999997</v>
      </c>
      <c r="G61" s="23">
        <f t="shared" si="13"/>
        <v>14510499</v>
      </c>
      <c r="H61" s="25">
        <v>0</v>
      </c>
      <c r="I61" s="1">
        <v>0.75</v>
      </c>
      <c r="J61" s="35" t="s">
        <v>132</v>
      </c>
      <c r="K61" s="42">
        <f t="shared" si="22"/>
        <v>19347332</v>
      </c>
      <c r="L61" s="42">
        <f t="shared" si="14"/>
        <v>45912993.799999997</v>
      </c>
      <c r="M61" s="41">
        <f t="shared" si="11"/>
        <v>2.3730917420551836</v>
      </c>
      <c r="N61" s="42">
        <f t="shared" si="15"/>
        <v>-26565661.799999997</v>
      </c>
      <c r="O61" s="42">
        <f>'FY 2009 Exp 01-15-10'!C13</f>
        <v>19861346</v>
      </c>
      <c r="P61" s="42">
        <f>SUM('FY 2009 Exp 01-15-10'!F13:N13)</f>
        <v>41555245.810000002</v>
      </c>
      <c r="Q61" s="41">
        <f t="shared" si="16"/>
        <v>2.0922673523738018</v>
      </c>
      <c r="R61" s="42">
        <f>'FY 2009 Exp 01-15-10'!D13</f>
        <v>38533167</v>
      </c>
      <c r="S61" s="41">
        <f t="shared" si="17"/>
        <v>1.078427989321511</v>
      </c>
      <c r="T61" s="42">
        <f t="shared" si="18"/>
        <v>-21693899.810000002</v>
      </c>
      <c r="U61" s="42">
        <f>'FY 2008 Exp 01-15-10'!C13</f>
        <v>17022879</v>
      </c>
      <c r="V61" s="42">
        <f>SUM('FY 2008 Exp 01-15-10'!F13:N13)</f>
        <v>38181907.269999996</v>
      </c>
      <c r="W61" s="41">
        <f t="shared" si="19"/>
        <v>2.2429758955579722</v>
      </c>
      <c r="X61" s="42">
        <f>'FY 2008 Exp 01-15-10'!D13</f>
        <v>37697948</v>
      </c>
      <c r="Y61" s="41">
        <f t="shared" si="20"/>
        <v>1.0128378146736261</v>
      </c>
      <c r="Z61" s="13">
        <f t="shared" si="21"/>
        <v>-21159028.269999996</v>
      </c>
    </row>
    <row r="62" spans="1:26" ht="15.75" customHeight="1" thickBot="1">
      <c r="A62" s="135" t="s">
        <v>35</v>
      </c>
      <c r="B62" s="136"/>
      <c r="C62" s="28">
        <f>'FY 2010 Exp as of 01-15-10'!C14</f>
        <v>26609348</v>
      </c>
      <c r="D62" s="28">
        <f>'FY2010 Exp as of 7-15-10'!E14</f>
        <v>26147759.859999999</v>
      </c>
      <c r="E62" s="12">
        <f t="shared" si="9"/>
        <v>0.98265315858171343</v>
      </c>
      <c r="F62" s="28">
        <f t="shared" si="12"/>
        <v>-6190748.8599999994</v>
      </c>
      <c r="G62" s="23">
        <f t="shared" si="13"/>
        <v>19957011</v>
      </c>
      <c r="H62" s="25">
        <f t="shared" si="10"/>
        <v>461588.1400000006</v>
      </c>
      <c r="I62" s="1">
        <v>0.75</v>
      </c>
      <c r="J62" s="35" t="s">
        <v>35</v>
      </c>
      <c r="K62" s="44">
        <f t="shared" si="22"/>
        <v>26609348</v>
      </c>
      <c r="L62" s="44">
        <f t="shared" si="14"/>
        <v>26147759.859999999</v>
      </c>
      <c r="M62" s="38">
        <f t="shared" si="11"/>
        <v>0.98265315858171343</v>
      </c>
      <c r="N62" s="44">
        <f t="shared" si="15"/>
        <v>461588.1400000006</v>
      </c>
      <c r="O62" s="44">
        <f>'FY 2009 Exp 01-15-10'!C14</f>
        <v>27673796</v>
      </c>
      <c r="P62" s="44">
        <f>SUM('FY 2009 Exp 01-15-10'!F14:N14)</f>
        <v>24713842.280000001</v>
      </c>
      <c r="Q62" s="38">
        <f t="shared" si="16"/>
        <v>0.89304128280775075</v>
      </c>
      <c r="R62" s="44">
        <f>'FY 2009 Exp 01-15-10'!D14</f>
        <v>70249042</v>
      </c>
      <c r="S62" s="38">
        <f t="shared" si="17"/>
        <v>0.35180326416408642</v>
      </c>
      <c r="T62" s="44">
        <f t="shared" si="18"/>
        <v>2959953.7199999988</v>
      </c>
      <c r="U62" s="44">
        <f>'FY 2008 Exp 01-15-10'!C14</f>
        <v>25864446</v>
      </c>
      <c r="V62" s="44">
        <f>SUM('FY 2008 Exp 01-15-10'!F14:N14)</f>
        <v>22258900.990000002</v>
      </c>
      <c r="W62" s="38">
        <f t="shared" si="19"/>
        <v>0.86059840562600887</v>
      </c>
      <c r="X62" s="44">
        <f>'FY 2008 Exp 01-15-10'!D14</f>
        <v>40216702</v>
      </c>
      <c r="Y62" s="38">
        <f t="shared" si="20"/>
        <v>0.55347405140282269</v>
      </c>
      <c r="Z62" s="45">
        <f t="shared" si="21"/>
        <v>3605545.0099999979</v>
      </c>
    </row>
    <row r="63" spans="1:26" ht="15.75" customHeight="1" thickBot="1">
      <c r="A63" s="139" t="s">
        <v>28</v>
      </c>
      <c r="B63" s="140"/>
      <c r="C63" s="20">
        <f>SUM(C50:C62)</f>
        <v>270182156</v>
      </c>
      <c r="D63" s="20">
        <f>SUM(D50:D62)</f>
        <v>239976922.87000006</v>
      </c>
      <c r="E63" s="12">
        <f t="shared" si="9"/>
        <v>0.88820418943581181</v>
      </c>
      <c r="F63" s="13">
        <f t="shared" si="12"/>
        <v>-37340305.870000064</v>
      </c>
      <c r="G63" s="23">
        <f t="shared" si="13"/>
        <v>202636617</v>
      </c>
      <c r="J63" s="30"/>
      <c r="K63" s="43">
        <f>SUM(K50:K62)</f>
        <v>270182156</v>
      </c>
      <c r="L63" s="43">
        <f>SUM(L50:L62)</f>
        <v>239976922.87000006</v>
      </c>
      <c r="M63" s="39">
        <f t="shared" si="11"/>
        <v>0.88820418943581181</v>
      </c>
      <c r="N63" s="43">
        <f>SUM(N50:N62)</f>
        <v>30205233.129999995</v>
      </c>
      <c r="O63" s="43">
        <f t="shared" ref="O63:Z63" si="23">SUM(O50:O62)</f>
        <v>269482206</v>
      </c>
      <c r="P63" s="43">
        <f t="shared" si="23"/>
        <v>227665162.53999999</v>
      </c>
      <c r="Q63" s="39">
        <f t="shared" si="16"/>
        <v>0.84482447252936621</v>
      </c>
      <c r="R63" s="43">
        <f t="shared" si="23"/>
        <v>345653526</v>
      </c>
      <c r="S63" s="39">
        <f t="shared" si="17"/>
        <v>0.65865135291575183</v>
      </c>
      <c r="T63" s="43">
        <f t="shared" si="23"/>
        <v>41817043.459999986</v>
      </c>
      <c r="U63" s="43">
        <f t="shared" si="23"/>
        <v>255607673</v>
      </c>
      <c r="V63" s="43">
        <f t="shared" si="23"/>
        <v>219099457.54000002</v>
      </c>
      <c r="W63" s="39">
        <f t="shared" si="19"/>
        <v>0.85717089384871492</v>
      </c>
      <c r="X63" s="43">
        <f t="shared" si="23"/>
        <v>322179771</v>
      </c>
      <c r="Y63" s="39">
        <f t="shared" si="20"/>
        <v>0.68005342750088438</v>
      </c>
      <c r="Z63" s="43">
        <f t="shared" si="23"/>
        <v>36508215.460000001</v>
      </c>
    </row>
    <row r="64" spans="1:26" ht="13.5" thickTop="1">
      <c r="J64" s="79"/>
    </row>
    <row r="65" spans="10:10">
      <c r="J65" s="79"/>
    </row>
    <row r="66" spans="10:10">
      <c r="J66" s="79"/>
    </row>
    <row r="67" spans="10:10">
      <c r="J67" s="79"/>
    </row>
    <row r="68" spans="10:10">
      <c r="J68" s="79"/>
    </row>
    <row r="69" spans="10:10">
      <c r="J69" s="79"/>
    </row>
    <row r="70" spans="10:10">
      <c r="J70" s="79"/>
    </row>
    <row r="71" spans="10:10">
      <c r="J71" s="79"/>
    </row>
    <row r="72" spans="10:10">
      <c r="J72" s="79"/>
    </row>
    <row r="73" spans="10:10">
      <c r="J73" s="79"/>
    </row>
    <row r="74" spans="10:10">
      <c r="J74" s="79"/>
    </row>
    <row r="75" spans="10:10">
      <c r="J75" s="79"/>
    </row>
    <row r="76" spans="10:10">
      <c r="J76" s="79"/>
    </row>
    <row r="77" spans="10:10">
      <c r="J77" s="80"/>
    </row>
    <row r="78" spans="10:10">
      <c r="J78" s="81"/>
    </row>
  </sheetData>
  <mergeCells count="28">
    <mergeCell ref="B3:D3"/>
    <mergeCell ref="A13:F13"/>
    <mergeCell ref="A14:F1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47:F47"/>
    <mergeCell ref="A49:B49"/>
    <mergeCell ref="A50:B50"/>
    <mergeCell ref="A51:B51"/>
    <mergeCell ref="A52:B52"/>
    <mergeCell ref="A53:B53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A59:B59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8"/>
  <sheetViews>
    <sheetView topLeftCell="H11" workbookViewId="0">
      <selection activeCell="S71" sqref="S71"/>
    </sheetView>
  </sheetViews>
  <sheetFormatPr defaultRowHeight="12.75"/>
  <cols>
    <col min="1" max="1" width="5.5" style="2" bestFit="1" customWidth="1"/>
    <col min="2" max="2" width="15" style="2" customWidth="1"/>
    <col min="3" max="3" width="18.5" style="2" customWidth="1"/>
    <col min="4" max="4" width="18.25" style="2" customWidth="1"/>
    <col min="5" max="5" width="7.625" style="2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2.5" style="2" bestFit="1" customWidth="1"/>
    <col min="12" max="12" width="11.125" style="2" bestFit="1" customWidth="1"/>
    <col min="13" max="13" width="10.25" style="2" customWidth="1"/>
    <col min="14" max="14" width="11.5" style="2" customWidth="1"/>
    <col min="15" max="15" width="11.125" style="2" bestFit="1" customWidth="1"/>
    <col min="16" max="16" width="13.25" style="2" bestFit="1" customWidth="1"/>
    <col min="17" max="17" width="10.25" style="2" customWidth="1"/>
    <col min="18" max="18" width="12.5" style="2" bestFit="1" customWidth="1"/>
    <col min="19" max="19" width="12" style="2" customWidth="1"/>
    <col min="20" max="20" width="12.5" style="2" bestFit="1" customWidth="1"/>
    <col min="21" max="21" width="11.125" style="2" bestFit="1" customWidth="1"/>
    <col min="22" max="22" width="11.875" style="2" customWidth="1"/>
    <col min="23" max="23" width="10.75" style="2" customWidth="1"/>
    <col min="24" max="24" width="11.125" style="2" bestFit="1" customWidth="1"/>
    <col min="25" max="25" width="10.75" style="2" customWidth="1"/>
    <col min="26" max="26" width="13.625" style="2" customWidth="1"/>
    <col min="27" max="16384" width="9" style="2"/>
  </cols>
  <sheetData>
    <row r="1" spans="1:21" ht="15.95" customHeight="1">
      <c r="E1" s="3"/>
      <c r="F1" s="3" t="s">
        <v>23</v>
      </c>
    </row>
    <row r="2" spans="1:21" ht="15.95" customHeight="1">
      <c r="E2" s="3"/>
      <c r="F2" s="3" t="s">
        <v>52</v>
      </c>
    </row>
    <row r="3" spans="1:21" ht="15.95" customHeight="1">
      <c r="B3" s="127" t="s">
        <v>41</v>
      </c>
      <c r="C3" s="127"/>
      <c r="D3" s="127"/>
      <c r="E3" s="3"/>
      <c r="F3" s="3" t="s">
        <v>53</v>
      </c>
    </row>
    <row r="4" spans="1:21" ht="15.95" customHeight="1">
      <c r="E4" s="3"/>
      <c r="F4" s="3" t="s">
        <v>54</v>
      </c>
    </row>
    <row r="5" spans="1:21" ht="15.95" customHeight="1">
      <c r="E5" s="3"/>
      <c r="F5" s="3" t="s">
        <v>24</v>
      </c>
    </row>
    <row r="6" spans="1:21" ht="15.75">
      <c r="A6" s="4"/>
      <c r="B6" s="4"/>
      <c r="C6" s="4"/>
      <c r="D6" s="5"/>
      <c r="E6" s="5"/>
      <c r="F6" s="4"/>
    </row>
    <row r="7" spans="1:21" ht="15.75">
      <c r="D7" s="3"/>
      <c r="E7" s="3"/>
    </row>
    <row r="8" spans="1:21" ht="19.5" customHeight="1">
      <c r="A8" s="6" t="s">
        <v>36</v>
      </c>
      <c r="B8" s="7" t="s">
        <v>37</v>
      </c>
    </row>
    <row r="9" spans="1:21" ht="19.5" customHeight="1">
      <c r="A9" s="6" t="s">
        <v>38</v>
      </c>
      <c r="B9" s="7" t="s">
        <v>93</v>
      </c>
    </row>
    <row r="10" spans="1:21" ht="19.5" customHeight="1">
      <c r="A10" s="6" t="s">
        <v>39</v>
      </c>
      <c r="B10" s="8">
        <v>40466</v>
      </c>
    </row>
    <row r="11" spans="1:21" ht="19.5" customHeight="1">
      <c r="A11" s="6" t="s">
        <v>40</v>
      </c>
      <c r="B11" s="7" t="s">
        <v>145</v>
      </c>
    </row>
    <row r="12" spans="1:21" ht="19.5" customHeight="1">
      <c r="A12" s="6"/>
      <c r="B12" s="7"/>
    </row>
    <row r="13" spans="1:21" ht="23.25" customHeight="1">
      <c r="A13" s="132"/>
      <c r="B13" s="132"/>
      <c r="C13" s="132"/>
      <c r="D13" s="132"/>
      <c r="E13" s="132"/>
      <c r="F13" s="132"/>
    </row>
    <row r="14" spans="1:21" ht="21" customHeight="1">
      <c r="A14" s="133" t="s">
        <v>127</v>
      </c>
      <c r="B14" s="133"/>
      <c r="C14" s="133"/>
      <c r="D14" s="133"/>
      <c r="E14" s="133"/>
      <c r="F14" s="133"/>
    </row>
    <row r="15" spans="1:21">
      <c r="K15" s="34"/>
      <c r="L15" s="34"/>
      <c r="M15" s="34"/>
      <c r="N15" s="34"/>
    </row>
    <row r="16" spans="1:21" ht="38.25">
      <c r="A16" s="134"/>
      <c r="B16" s="134"/>
      <c r="C16" s="9" t="s">
        <v>94</v>
      </c>
      <c r="D16" s="9" t="s">
        <v>44</v>
      </c>
      <c r="E16" s="9" t="s">
        <v>25</v>
      </c>
      <c r="F16" s="9" t="s">
        <v>146</v>
      </c>
      <c r="G16" s="10">
        <v>1</v>
      </c>
      <c r="H16" s="2" t="s">
        <v>42</v>
      </c>
      <c r="I16" s="10">
        <v>1</v>
      </c>
      <c r="K16" s="9" t="s">
        <v>94</v>
      </c>
      <c r="L16" s="9" t="s">
        <v>102</v>
      </c>
      <c r="M16" s="9">
        <v>2010</v>
      </c>
      <c r="N16" s="9" t="s">
        <v>1</v>
      </c>
      <c r="O16" s="9" t="s">
        <v>147</v>
      </c>
      <c r="P16" s="9" t="s">
        <v>106</v>
      </c>
      <c r="Q16" s="9">
        <v>2009</v>
      </c>
      <c r="R16" s="9" t="s">
        <v>104</v>
      </c>
      <c r="S16" s="9" t="s">
        <v>148</v>
      </c>
      <c r="T16" s="9" t="s">
        <v>107</v>
      </c>
      <c r="U16" s="9">
        <v>2008</v>
      </c>
    </row>
    <row r="17" spans="1:21" ht="15.75" customHeight="1">
      <c r="A17" s="131" t="s">
        <v>26</v>
      </c>
      <c r="B17" s="131"/>
      <c r="C17" s="11">
        <f>'FY 2010 Rev as of 01-15-10'!E3</f>
        <v>175939506</v>
      </c>
      <c r="D17" s="11">
        <f>'FY2010 Rev as of 10-15-10'!D3</f>
        <v>175146677.47</v>
      </c>
      <c r="E17" s="12">
        <f t="shared" ref="E17:E24" si="0">(D17/C17)</f>
        <v>0.99549374357115672</v>
      </c>
      <c r="F17" s="29">
        <f>D17-C17</f>
        <v>-792828.53000000119</v>
      </c>
      <c r="G17" s="14"/>
      <c r="H17" s="15">
        <f t="shared" ref="H17:H22" si="1">C17-D17</f>
        <v>792828.53000000119</v>
      </c>
      <c r="I17" s="10">
        <v>1</v>
      </c>
      <c r="J17" s="21" t="str">
        <f>A17</f>
        <v>Current / Delinquent Taxes</v>
      </c>
      <c r="K17" s="11">
        <f t="shared" ref="K17:L23" si="2">C17</f>
        <v>175939506</v>
      </c>
      <c r="L17" s="11">
        <f t="shared" si="2"/>
        <v>175146677.47</v>
      </c>
      <c r="M17" s="12">
        <f t="shared" ref="M17:M24" si="3">(L17/K17)</f>
        <v>0.99549374357115672</v>
      </c>
      <c r="N17" s="11">
        <f>'FY 2009 Rev 01-15-10'!E3</f>
        <v>173590951</v>
      </c>
      <c r="O17" s="11">
        <f>SUM('FY 2009 Rev 01-15-10'!F3:Q3)</f>
        <v>174579261.34</v>
      </c>
      <c r="P17" s="11">
        <f>'FY 2009 Rev 01-15-10'!D3</f>
        <v>174870775.59</v>
      </c>
      <c r="Q17" s="12">
        <f t="shared" ref="Q17:Q24" si="4">O17/P17</f>
        <v>0.99833297331119819</v>
      </c>
      <c r="R17" s="11">
        <f>'FY 2008 Rev 01-15-10'!E3</f>
        <v>171068428</v>
      </c>
      <c r="S17" s="11">
        <f>SUM('FY 2008 Rev 01-15-10'!F3:Q3)</f>
        <v>171077825.91999999</v>
      </c>
      <c r="T17" s="11">
        <f>'FY 2008 Rev 01-15-10'!D3</f>
        <v>171077825.91999999</v>
      </c>
      <c r="U17" s="12">
        <f t="shared" ref="U17:U24" si="5">S17/T17</f>
        <v>1</v>
      </c>
    </row>
    <row r="18" spans="1:21" ht="15.75" customHeight="1">
      <c r="A18" s="131" t="s">
        <v>95</v>
      </c>
      <c r="B18" s="131"/>
      <c r="C18" s="16">
        <f>'FY 2010 Rev as of 01-15-10'!E6</f>
        <v>335854</v>
      </c>
      <c r="D18" s="28">
        <f>'FY2010 Rev as of 10-15-10'!D6</f>
        <v>254648.6</v>
      </c>
      <c r="E18" s="12">
        <f>(D18/C18)</f>
        <v>0.75821219934852646</v>
      </c>
      <c r="F18" s="29">
        <f t="shared" ref="F18:F23" si="6">D18-C18</f>
        <v>-81205.399999999994</v>
      </c>
      <c r="G18" s="14"/>
      <c r="H18" s="15">
        <f t="shared" si="1"/>
        <v>81205.399999999994</v>
      </c>
      <c r="I18" s="10">
        <v>1</v>
      </c>
      <c r="J18" s="21" t="str">
        <f t="shared" ref="J18:J23" si="7">A18</f>
        <v>License / Permits</v>
      </c>
      <c r="K18" s="16">
        <f t="shared" si="2"/>
        <v>335854</v>
      </c>
      <c r="L18" s="28">
        <f t="shared" si="2"/>
        <v>254648.6</v>
      </c>
      <c r="M18" s="12">
        <f t="shared" si="3"/>
        <v>0.75821219934852646</v>
      </c>
      <c r="N18" s="28">
        <f>'FY 2009 Rev 01-15-10'!E6</f>
        <v>650650</v>
      </c>
      <c r="O18" s="28">
        <f>SUM('FY 2009 Rev 01-15-10'!F6:Q6)</f>
        <v>283482.13999999996</v>
      </c>
      <c r="P18" s="28">
        <f>'FY 2009 Rev 01-15-10'!D6</f>
        <v>283457.14</v>
      </c>
      <c r="Q18" s="12">
        <f t="shared" si="4"/>
        <v>1.0000881967552482</v>
      </c>
      <c r="R18" s="28">
        <f>'FY 2008 Rev 01-15-10'!E6</f>
        <v>826700</v>
      </c>
      <c r="S18" s="28">
        <f>SUM('FY 2008 Rev 01-15-10'!F6:Q6)</f>
        <v>653856.60000000009</v>
      </c>
      <c r="T18" s="28">
        <f>'FY 2008 Rev 01-15-10'!D6</f>
        <v>653856.6</v>
      </c>
      <c r="U18" s="12">
        <f t="shared" si="5"/>
        <v>1.0000000000000002</v>
      </c>
    </row>
    <row r="19" spans="1:21" ht="15.75" customHeight="1">
      <c r="A19" s="131" t="s">
        <v>51</v>
      </c>
      <c r="B19" s="131"/>
      <c r="C19" s="16">
        <f>'FY 2010 Rev as of 01-15-10'!E13</f>
        <v>10763558</v>
      </c>
      <c r="D19" s="28">
        <f>'FY2010 Rev as of 10-15-10'!D13</f>
        <v>32364689.369999997</v>
      </c>
      <c r="E19" s="12">
        <f t="shared" si="0"/>
        <v>3.0068764780196284</v>
      </c>
      <c r="F19" s="29">
        <f t="shared" si="6"/>
        <v>21601131.369999997</v>
      </c>
      <c r="G19" s="14"/>
      <c r="H19" s="27">
        <v>0</v>
      </c>
      <c r="I19" s="10">
        <v>1</v>
      </c>
      <c r="J19" s="21" t="str">
        <f t="shared" si="7"/>
        <v>Intergovernmental Revenue</v>
      </c>
      <c r="K19" s="16">
        <f t="shared" si="2"/>
        <v>10763558</v>
      </c>
      <c r="L19" s="28">
        <f t="shared" si="2"/>
        <v>32364689.369999997</v>
      </c>
      <c r="M19" s="12">
        <f t="shared" si="3"/>
        <v>3.0068764780196284</v>
      </c>
      <c r="N19" s="28">
        <f>'FY 2009 Rev 01-15-10'!E13</f>
        <v>9723482</v>
      </c>
      <c r="O19" s="28">
        <f>SUM('FY 2009 Rev 01-15-10'!F13:Q13)</f>
        <v>18387550.899999999</v>
      </c>
      <c r="P19" s="28">
        <f>'FY 2009 Rev 01-15-10'!D13</f>
        <v>18664970.830000002</v>
      </c>
      <c r="Q19" s="12">
        <f t="shared" si="4"/>
        <v>0.98513686774403586</v>
      </c>
      <c r="R19" s="28">
        <f>'FY 2008 Rev 01-15-10'!E12</f>
        <v>14349223</v>
      </c>
      <c r="S19" s="28">
        <f>SUM('FY 2008 Rev 01-15-10'!F12:Q12)</f>
        <v>16017505.82</v>
      </c>
      <c r="T19" s="28">
        <f>'FY 2008 Rev 01-15-10'!D12</f>
        <v>16017505.82</v>
      </c>
      <c r="U19" s="12">
        <f t="shared" si="5"/>
        <v>1</v>
      </c>
    </row>
    <row r="20" spans="1:21" ht="15.75" customHeight="1">
      <c r="A20" s="131" t="s">
        <v>2</v>
      </c>
      <c r="B20" s="131"/>
      <c r="C20" s="16">
        <f>'FY 2010 Rev as of 01-15-10'!E21</f>
        <v>40351226</v>
      </c>
      <c r="D20" s="28">
        <f>'FY2010 Rev as of 10-15-10'!D21</f>
        <v>36866202.479999997</v>
      </c>
      <c r="E20" s="12">
        <f t="shared" si="0"/>
        <v>0.91363277239705176</v>
      </c>
      <c r="F20" s="29">
        <f t="shared" si="6"/>
        <v>-3485023.5200000033</v>
      </c>
      <c r="G20" s="14"/>
      <c r="H20" s="27">
        <f t="shared" si="1"/>
        <v>3485023.5200000033</v>
      </c>
      <c r="I20" s="10">
        <v>1</v>
      </c>
      <c r="J20" s="21" t="str">
        <f t="shared" si="7"/>
        <v>Fees/Charges for Services</v>
      </c>
      <c r="K20" s="16">
        <f t="shared" si="2"/>
        <v>40351226</v>
      </c>
      <c r="L20" s="28">
        <f t="shared" si="2"/>
        <v>36866202.479999997</v>
      </c>
      <c r="M20" s="12">
        <f t="shared" si="3"/>
        <v>0.91363277239705176</v>
      </c>
      <c r="N20" s="28">
        <f>'FY 2009 Rev 01-15-10'!E21</f>
        <v>38656872</v>
      </c>
      <c r="O20" s="28">
        <f>SUM('FY 2009 Rev 01-15-10'!F21:Q21)</f>
        <v>38118100.980000004</v>
      </c>
      <c r="P20" s="28">
        <f>'FY 2009 Rev 01-15-10'!D21</f>
        <v>38824923.710000001</v>
      </c>
      <c r="Q20" s="12">
        <f t="shared" si="4"/>
        <v>0.98179461380839894</v>
      </c>
      <c r="R20" s="28">
        <f>'FY 2008 Rev 01-15-10'!E20</f>
        <v>34135331</v>
      </c>
      <c r="S20" s="28">
        <f>SUM('FY 2008 Rev 01-15-10'!F20:Q20)</f>
        <v>39520826.650000006</v>
      </c>
      <c r="T20" s="28">
        <f>'FY 2008 Rev 01-15-10'!D20</f>
        <v>39520826.649999999</v>
      </c>
      <c r="U20" s="12">
        <f t="shared" si="5"/>
        <v>1.0000000000000002</v>
      </c>
    </row>
    <row r="21" spans="1:21" ht="15.75" customHeight="1">
      <c r="A21" s="131" t="s">
        <v>4</v>
      </c>
      <c r="B21" s="131"/>
      <c r="C21" s="16">
        <f>'FY 2010 Rev as of 01-15-10'!E23</f>
        <v>4596375</v>
      </c>
      <c r="D21" s="28">
        <f>'FY2010 Rev as of 10-15-10'!D23</f>
        <v>3808418.44</v>
      </c>
      <c r="E21" s="12">
        <f t="shared" si="0"/>
        <v>0.82857000135976722</v>
      </c>
      <c r="F21" s="29">
        <f t="shared" si="6"/>
        <v>-787956.56</v>
      </c>
      <c r="G21" s="14"/>
      <c r="H21" s="27">
        <f t="shared" si="1"/>
        <v>787956.56</v>
      </c>
      <c r="I21" s="10">
        <v>1</v>
      </c>
      <c r="J21" s="21" t="str">
        <f t="shared" si="7"/>
        <v>Fines</v>
      </c>
      <c r="K21" s="16">
        <f t="shared" si="2"/>
        <v>4596375</v>
      </c>
      <c r="L21" s="28">
        <f t="shared" si="2"/>
        <v>3808418.44</v>
      </c>
      <c r="M21" s="12">
        <f t="shared" si="3"/>
        <v>0.82857000135976722</v>
      </c>
      <c r="N21" s="28">
        <f>'FY 2009 Rev 01-15-10'!E23</f>
        <v>4675500</v>
      </c>
      <c r="O21" s="28">
        <f>SUM('FY 2009 Rev 01-15-10'!F23:Q23)</f>
        <v>4422052.07</v>
      </c>
      <c r="P21" s="28">
        <f>'FY 2009 Rev 01-15-10'!D23</f>
        <v>4484058.21</v>
      </c>
      <c r="Q21" s="12">
        <f t="shared" si="4"/>
        <v>0.98617186996776307</v>
      </c>
      <c r="R21" s="28">
        <f>'FY 2008 Rev 01-15-10'!E22</f>
        <v>5009825</v>
      </c>
      <c r="S21" s="28">
        <f>SUM('FY 2008 Rev 01-15-10'!F22:Q22)</f>
        <v>5028905.6099999994</v>
      </c>
      <c r="T21" s="28">
        <f>'FY 2008 Rev 01-15-10'!D22</f>
        <v>5028905.6100000003</v>
      </c>
      <c r="U21" s="12">
        <f t="shared" si="5"/>
        <v>0.99999999999999978</v>
      </c>
    </row>
    <row r="22" spans="1:21" ht="15.75" customHeight="1">
      <c r="A22" s="131" t="s">
        <v>3</v>
      </c>
      <c r="B22" s="131"/>
      <c r="C22" s="16">
        <f>'FY 2010 Rev as of 01-15-10'!E26</f>
        <v>8606066</v>
      </c>
      <c r="D22" s="28">
        <f>'FY2010 Rev as of 10-15-10'!D26</f>
        <v>5366504.47</v>
      </c>
      <c r="E22" s="12">
        <f t="shared" si="0"/>
        <v>0.62357231166946658</v>
      </c>
      <c r="F22" s="29">
        <f t="shared" si="6"/>
        <v>-3239561.5300000003</v>
      </c>
      <c r="G22" s="14"/>
      <c r="H22" s="27">
        <f t="shared" si="1"/>
        <v>3239561.5300000003</v>
      </c>
      <c r="I22" s="10">
        <v>1</v>
      </c>
      <c r="J22" s="21" t="str">
        <f t="shared" si="7"/>
        <v>Investment Revenue</v>
      </c>
      <c r="K22" s="16">
        <f t="shared" si="2"/>
        <v>8606066</v>
      </c>
      <c r="L22" s="28">
        <f t="shared" si="2"/>
        <v>5366504.47</v>
      </c>
      <c r="M22" s="12">
        <f t="shared" si="3"/>
        <v>0.62357231166946658</v>
      </c>
      <c r="N22" s="28">
        <f>'FY 2009 Rev 01-15-10'!E26</f>
        <v>9130674</v>
      </c>
      <c r="O22" s="28">
        <f>SUM('FY 2009 Rev 01-15-10'!F26:Q26)</f>
        <v>8323258.3000000017</v>
      </c>
      <c r="P22" s="28">
        <f>'FY 2009 Rev 01-15-10'!D26</f>
        <v>8875084.7300000004</v>
      </c>
      <c r="Q22" s="12">
        <f t="shared" si="4"/>
        <v>0.93782296769126183</v>
      </c>
      <c r="R22" s="28">
        <f>'FY 2008 Rev 01-15-10'!E25</f>
        <v>13220197</v>
      </c>
      <c r="S22" s="28">
        <f>SUM('FY 2008 Rev 01-15-10'!F25:Q25)</f>
        <v>17328876.469999999</v>
      </c>
      <c r="T22" s="28">
        <f>'FY 2008 Rev 01-15-10'!D25</f>
        <v>17328876.469999999</v>
      </c>
      <c r="U22" s="12">
        <f t="shared" si="5"/>
        <v>1</v>
      </c>
    </row>
    <row r="23" spans="1:21" ht="15.75" customHeight="1" thickBot="1">
      <c r="A23" s="131" t="s">
        <v>27</v>
      </c>
      <c r="B23" s="131"/>
      <c r="C23" s="16">
        <f>'FY 2010 Rev as of 01-15-10'!E30+'FY 2010 Rev as of 01-15-10'!E36+'FY 2010 Rev as of 01-15-10'!E43</f>
        <v>29809162</v>
      </c>
      <c r="D23" s="28">
        <f>'FY2010 Rev as of 10-15-10'!D30+'FY2010 Rev as of 10-15-10'!D36+'FY2010 Rev as of 10-15-10'!D43</f>
        <v>34778633.700000003</v>
      </c>
      <c r="E23" s="12">
        <f t="shared" si="0"/>
        <v>1.1667095405097265</v>
      </c>
      <c r="F23" s="29">
        <f t="shared" si="6"/>
        <v>4969471.700000003</v>
      </c>
      <c r="G23" s="14"/>
      <c r="H23" s="27">
        <v>0</v>
      </c>
      <c r="I23" s="10">
        <v>1</v>
      </c>
      <c r="J23" s="21" t="str">
        <f t="shared" si="7"/>
        <v>Miscellaneous</v>
      </c>
      <c r="K23" s="32">
        <f t="shared" si="2"/>
        <v>29809162</v>
      </c>
      <c r="L23" s="33">
        <f t="shared" si="2"/>
        <v>34778633.700000003</v>
      </c>
      <c r="M23" s="38">
        <f t="shared" si="3"/>
        <v>1.1667095405097265</v>
      </c>
      <c r="N23" s="33">
        <f>'FY 2009 Rev 01-15-10'!E30+'FY 2009 Rev 01-15-10'!E36+'FY 2009 Rev 01-15-10'!E43</f>
        <v>27526735</v>
      </c>
      <c r="O23" s="33">
        <f>SUM('FY 2009 Rev 01-15-10'!F30:Q30,'FY 2009 Rev 01-15-10'!F36:Q36,'FY 2009 Rev 01-15-10'!F43:Q43)</f>
        <v>130175824.75999999</v>
      </c>
      <c r="P23" s="33">
        <f>'FY 2009 Rev 01-15-10'!D30+'FY 2009 Rev 01-15-10'!D36+'FY 2009 Rev 01-15-10'!D43</f>
        <v>134307912.17000002</v>
      </c>
      <c r="Q23" s="38">
        <f t="shared" si="4"/>
        <v>0.96923422199602183</v>
      </c>
      <c r="R23" s="33">
        <f>'FY 2008 Rev 01-15-10'!E29+'FY 2008 Rev 01-15-10'!E35+'FY 2008 Rev 01-15-10'!E41</f>
        <v>26955037</v>
      </c>
      <c r="S23" s="33">
        <f>SUM('FY 2008 Rev 01-15-10'!F29:Q29,'FY 2008 Rev 01-15-10'!F35:Q35,'FY 2008 Rev 01-15-10'!F41:Q41)</f>
        <v>103901511.08</v>
      </c>
      <c r="T23" s="33">
        <f>'FY 2008 Rev 01-15-10'!D29+'FY 2008 Rev 01-15-10'!D35+'FY 2008 Rev 01-15-10'!D41</f>
        <v>103901511.08000001</v>
      </c>
      <c r="U23" s="38">
        <f t="shared" si="5"/>
        <v>0.99999999999999989</v>
      </c>
    </row>
    <row r="24" spans="1:21" ht="15.75" customHeight="1" thickBot="1">
      <c r="A24" s="137" t="s">
        <v>28</v>
      </c>
      <c r="B24" s="137"/>
      <c r="C24" s="11">
        <f>SUM(C17:C23)</f>
        <v>270401747</v>
      </c>
      <c r="D24" s="11">
        <f>SUM(D17:D23)</f>
        <v>288585774.52999997</v>
      </c>
      <c r="E24" s="12">
        <f t="shared" si="0"/>
        <v>1.0672481880451754</v>
      </c>
      <c r="F24" s="17">
        <f>SUM(F17:F23)</f>
        <v>18184027.529999997</v>
      </c>
      <c r="G24" s="14"/>
      <c r="H24" s="27"/>
      <c r="J24" s="21"/>
      <c r="K24" s="31">
        <f>SUM(K17:K23)</f>
        <v>270401747</v>
      </c>
      <c r="L24" s="31">
        <f>SUM(L17:L23)</f>
        <v>288585774.52999997</v>
      </c>
      <c r="M24" s="39">
        <f t="shared" si="3"/>
        <v>1.0672481880451754</v>
      </c>
      <c r="N24" s="31">
        <f>SUM(N17:N23)</f>
        <v>263954864</v>
      </c>
      <c r="O24" s="31">
        <f>SUM(O17:O23)</f>
        <v>374289530.49000001</v>
      </c>
      <c r="P24" s="31">
        <f>SUM(P17:P23)</f>
        <v>380311182.38</v>
      </c>
      <c r="Q24" s="39">
        <f t="shared" si="4"/>
        <v>0.98416651371564656</v>
      </c>
      <c r="R24" s="31">
        <f>SUM(R17:R23)</f>
        <v>265564741</v>
      </c>
      <c r="S24" s="31">
        <f>SUM(S17:S23)</f>
        <v>353529308.14999998</v>
      </c>
      <c r="T24" s="31">
        <f>SUM(T17:T23)</f>
        <v>353529308.14999998</v>
      </c>
      <c r="U24" s="39">
        <f t="shared" si="5"/>
        <v>1</v>
      </c>
    </row>
    <row r="25" spans="1:21" ht="22.5" customHeight="1" thickTop="1">
      <c r="J25" s="21"/>
      <c r="K25" s="26"/>
    </row>
    <row r="26" spans="1:21">
      <c r="J26" s="21"/>
      <c r="K26" s="26"/>
    </row>
    <row r="40" spans="1:11">
      <c r="J40" s="35"/>
      <c r="K40" s="35"/>
    </row>
    <row r="41" spans="1:11">
      <c r="J41" s="35"/>
      <c r="K41" s="35"/>
    </row>
    <row r="42" spans="1:11">
      <c r="J42" s="35"/>
      <c r="K42" s="35"/>
    </row>
    <row r="43" spans="1:11">
      <c r="J43" s="35"/>
      <c r="K43" s="35"/>
    </row>
    <row r="44" spans="1:11">
      <c r="J44" s="35"/>
      <c r="K44" s="35"/>
    </row>
    <row r="45" spans="1:11">
      <c r="J45" s="35"/>
      <c r="K45" s="35"/>
    </row>
    <row r="46" spans="1:11">
      <c r="J46" s="35"/>
      <c r="K46" s="35"/>
    </row>
    <row r="47" spans="1:11" ht="33" customHeight="1">
      <c r="A47" s="133" t="s">
        <v>130</v>
      </c>
      <c r="B47" s="133"/>
      <c r="C47" s="133"/>
      <c r="D47" s="133"/>
      <c r="E47" s="133"/>
      <c r="F47" s="133"/>
      <c r="J47" s="35"/>
      <c r="K47" s="35"/>
    </row>
    <row r="48" spans="1:11" ht="12" customHeight="1">
      <c r="B48" s="18"/>
      <c r="C48" s="18"/>
      <c r="D48" s="18"/>
      <c r="E48" s="18"/>
      <c r="J48" s="35"/>
      <c r="K48" s="35"/>
    </row>
    <row r="49" spans="1:26" ht="36" customHeight="1">
      <c r="A49" s="138"/>
      <c r="B49" s="138"/>
      <c r="C49" s="19" t="s">
        <v>94</v>
      </c>
      <c r="D49" s="19" t="s">
        <v>45</v>
      </c>
      <c r="E49" s="19" t="s">
        <v>25</v>
      </c>
      <c r="F49" s="9" t="s">
        <v>146</v>
      </c>
      <c r="G49" s="10">
        <v>1</v>
      </c>
      <c r="H49" s="2" t="s">
        <v>43</v>
      </c>
      <c r="K49" s="40" t="s">
        <v>94</v>
      </c>
      <c r="L49" s="36" t="s">
        <v>108</v>
      </c>
      <c r="M49" s="37">
        <v>2010</v>
      </c>
      <c r="N49" s="36" t="s">
        <v>109</v>
      </c>
      <c r="O49" s="36" t="s">
        <v>1</v>
      </c>
      <c r="P49" s="36" t="s">
        <v>149</v>
      </c>
      <c r="Q49" s="37">
        <v>2009</v>
      </c>
      <c r="R49" s="36" t="s">
        <v>111</v>
      </c>
      <c r="S49" s="36">
        <v>2009</v>
      </c>
      <c r="T49" s="36" t="s">
        <v>112</v>
      </c>
      <c r="U49" s="36" t="s">
        <v>104</v>
      </c>
      <c r="V49" s="36" t="s">
        <v>150</v>
      </c>
      <c r="W49" s="37">
        <v>2008</v>
      </c>
      <c r="X49" s="36" t="s">
        <v>114</v>
      </c>
      <c r="Y49" s="36">
        <v>2008</v>
      </c>
      <c r="Z49" s="36" t="s">
        <v>115</v>
      </c>
    </row>
    <row r="50" spans="1:26" ht="15.75" customHeight="1">
      <c r="A50" s="135" t="s">
        <v>29</v>
      </c>
      <c r="B50" s="136"/>
      <c r="C50" s="11">
        <f>'FY 2010 Exp as of 01-15-10'!C2</f>
        <v>346531</v>
      </c>
      <c r="D50" s="11">
        <f>'FY2010 Exp as of 10-15-10'!E2</f>
        <v>277303.21999999997</v>
      </c>
      <c r="E50" s="12">
        <f t="shared" ref="E50:E63" si="8">(D50/C50)</f>
        <v>0.80022630010013529</v>
      </c>
      <c r="F50" s="11">
        <f>C50-D50</f>
        <v>69227.780000000028</v>
      </c>
      <c r="G50" s="23"/>
      <c r="H50" s="24">
        <f t="shared" ref="H50:H60" si="9">C50-D50</f>
        <v>69227.780000000028</v>
      </c>
      <c r="I50" s="1">
        <v>1</v>
      </c>
      <c r="J50" s="35" t="s">
        <v>29</v>
      </c>
      <c r="K50" s="13">
        <f>C50</f>
        <v>346531</v>
      </c>
      <c r="L50" s="13">
        <f>D50</f>
        <v>277303.21999999997</v>
      </c>
      <c r="M50" s="41">
        <f t="shared" ref="M50:M63" si="10">(L50/K50)</f>
        <v>0.80022630010013529</v>
      </c>
      <c r="N50" s="13">
        <f>K50-L50</f>
        <v>69227.780000000028</v>
      </c>
      <c r="O50" s="13">
        <f>'FY 2009 Exp 01-15-10'!C2</f>
        <v>351630</v>
      </c>
      <c r="P50" s="13">
        <f>SUM('FY 2009 Exp 01-15-10'!F2:Q2)</f>
        <v>321178.05000000005</v>
      </c>
      <c r="Q50" s="41">
        <f>P50/O50</f>
        <v>0.91339774763245474</v>
      </c>
      <c r="R50" s="13">
        <f>'FY 2009 Exp 01-15-10'!D2</f>
        <v>525313</v>
      </c>
      <c r="S50" s="41">
        <f>P50/R50</f>
        <v>0.61140320151985583</v>
      </c>
      <c r="T50" s="13">
        <f>O50-P50</f>
        <v>30451.949999999953</v>
      </c>
      <c r="U50" s="13">
        <f>'FY 2008 Exp 01-15-10'!C2</f>
        <v>370277</v>
      </c>
      <c r="V50" s="13">
        <f>SUM('FY 2008 Exp 01-15-10'!F2:Q2)</f>
        <v>541830.66</v>
      </c>
      <c r="W50" s="41">
        <f>V50/U50</f>
        <v>1.463311682875253</v>
      </c>
      <c r="X50" s="13">
        <f>'FY 2008 Exp 01-15-10'!D2</f>
        <v>727556</v>
      </c>
      <c r="Y50" s="41">
        <f>V50/X50</f>
        <v>0.74472708629988627</v>
      </c>
      <c r="Z50" s="13">
        <f>U50-V50</f>
        <v>-171553.66000000003</v>
      </c>
    </row>
    <row r="51" spans="1:26" ht="15.75" customHeight="1">
      <c r="A51" s="135" t="s">
        <v>116</v>
      </c>
      <c r="B51" s="136"/>
      <c r="C51" s="28">
        <f>'FY 2010 Exp as of 01-15-10'!C3</f>
        <v>1078918</v>
      </c>
      <c r="D51" s="28">
        <f>'FY2010 Exp as of 10-15-10'!E3</f>
        <v>3117445.65</v>
      </c>
      <c r="E51" s="12">
        <f t="shared" si="8"/>
        <v>2.8894185192943298</v>
      </c>
      <c r="F51" s="11">
        <f t="shared" ref="F51:F63" si="11">C51-D51</f>
        <v>-2038527.65</v>
      </c>
      <c r="G51" s="23"/>
      <c r="H51" s="24">
        <v>0</v>
      </c>
      <c r="I51" s="1">
        <v>1</v>
      </c>
      <c r="J51" s="35" t="s">
        <v>116</v>
      </c>
      <c r="K51" s="42">
        <f>C51</f>
        <v>1078918</v>
      </c>
      <c r="L51" s="42">
        <f t="shared" ref="L51:L62" si="12">D51</f>
        <v>3117445.65</v>
      </c>
      <c r="M51" s="41">
        <f t="shared" si="10"/>
        <v>2.8894185192943298</v>
      </c>
      <c r="N51" s="42">
        <f t="shared" ref="N51:N62" si="13">K51-L51</f>
        <v>-2038527.65</v>
      </c>
      <c r="O51" s="42">
        <f>'FY 2009 Exp 01-15-10'!C3</f>
        <v>1209220</v>
      </c>
      <c r="P51" s="42">
        <f>SUM('FY 2009 Exp 01-15-10'!F3:Q3)</f>
        <v>3982344.4200000009</v>
      </c>
      <c r="Q51" s="41">
        <f t="shared" ref="Q51:Q63" si="14">P51/O51</f>
        <v>3.293316700021502</v>
      </c>
      <c r="R51" s="42">
        <f>'FY 2009 Exp 01-15-10'!D3</f>
        <v>1275791</v>
      </c>
      <c r="S51" s="41">
        <f t="shared" ref="S51:S63" si="15">P51/R51</f>
        <v>3.121470852200714</v>
      </c>
      <c r="T51" s="42">
        <f t="shared" ref="T51:T62" si="16">O51-P51</f>
        <v>-2773124.4200000009</v>
      </c>
      <c r="U51" s="42">
        <f>'FY 2008 Exp 01-15-10'!C3</f>
        <v>1199159</v>
      </c>
      <c r="V51" s="42">
        <f>SUM('FY 2008 Exp 01-15-10'!F3:Q3)</f>
        <v>2062703.96</v>
      </c>
      <c r="W51" s="41">
        <f t="shared" ref="W51:W63" si="17">V51/U51</f>
        <v>1.7201254879461356</v>
      </c>
      <c r="X51" s="42">
        <f>'FY 2008 Exp 01-15-10'!D3</f>
        <v>1238216</v>
      </c>
      <c r="Y51" s="41">
        <f t="shared" ref="Y51:Y63" si="18">V51/X51</f>
        <v>1.6658676353721806</v>
      </c>
      <c r="Z51" s="13">
        <f t="shared" ref="Z51:Z62" si="19">U51-V51</f>
        <v>-863544.96</v>
      </c>
    </row>
    <row r="52" spans="1:26" ht="15.75" customHeight="1">
      <c r="A52" s="135" t="s">
        <v>131</v>
      </c>
      <c r="B52" s="136"/>
      <c r="C52" s="28">
        <f>'FY 2010 Exp as of 01-15-10'!C4</f>
        <v>43665123</v>
      </c>
      <c r="D52" s="28">
        <f>'FY2010 Exp as of 10-15-10'!E4</f>
        <v>43835701.119999997</v>
      </c>
      <c r="E52" s="12">
        <f t="shared" si="8"/>
        <v>1.0039065072598101</v>
      </c>
      <c r="F52" s="11">
        <f t="shared" si="11"/>
        <v>-170578.11999999732</v>
      </c>
      <c r="G52" s="23"/>
      <c r="H52" s="25">
        <v>0</v>
      </c>
      <c r="I52" s="1">
        <v>1</v>
      </c>
      <c r="J52" s="35" t="s">
        <v>131</v>
      </c>
      <c r="K52" s="42">
        <f t="shared" ref="K52:K62" si="20">C52</f>
        <v>43665123</v>
      </c>
      <c r="L52" s="42">
        <f t="shared" si="12"/>
        <v>43835701.119999997</v>
      </c>
      <c r="M52" s="41">
        <f t="shared" si="10"/>
        <v>1.0039065072598101</v>
      </c>
      <c r="N52" s="42">
        <f t="shared" si="13"/>
        <v>-170578.11999999732</v>
      </c>
      <c r="O52" s="42">
        <f>'FY 2009 Exp 01-15-10'!C4</f>
        <v>42789548</v>
      </c>
      <c r="P52" s="42">
        <f>SUM('FY 2009 Exp 01-15-10'!F4:Q4)</f>
        <v>47909345.829999998</v>
      </c>
      <c r="Q52" s="41">
        <f t="shared" si="14"/>
        <v>1.1196506639892527</v>
      </c>
      <c r="R52" s="42">
        <f>'FY 2009 Exp 01-15-10'!D4</f>
        <v>47916306</v>
      </c>
      <c r="S52" s="41">
        <f t="shared" si="15"/>
        <v>0.99985474318491907</v>
      </c>
      <c r="T52" s="42">
        <f t="shared" si="16"/>
        <v>-5119797.8299999982</v>
      </c>
      <c r="U52" s="42">
        <f>'FY 2008 Exp 01-15-10'!C4</f>
        <v>39688692</v>
      </c>
      <c r="V52" s="42">
        <f>SUM('FY 2008 Exp 01-15-10'!F4:Q4)</f>
        <v>50253584.240000002</v>
      </c>
      <c r="W52" s="41">
        <f t="shared" si="17"/>
        <v>1.266194014153956</v>
      </c>
      <c r="X52" s="42">
        <f>'FY 2008 Exp 01-15-10'!D4</f>
        <v>50299627</v>
      </c>
      <c r="Y52" s="41">
        <f t="shared" si="18"/>
        <v>0.99908463019020011</v>
      </c>
      <c r="Z52" s="13">
        <f t="shared" si="19"/>
        <v>-10564892.240000002</v>
      </c>
    </row>
    <row r="53" spans="1:26" ht="15.75" customHeight="1">
      <c r="A53" s="135" t="s">
        <v>30</v>
      </c>
      <c r="B53" s="136"/>
      <c r="C53" s="28">
        <f>'FY 2010 Exp as of 01-15-10'!C5</f>
        <v>3263326</v>
      </c>
      <c r="D53" s="28">
        <f>'FY2010 Exp as of 10-15-10'!E5</f>
        <v>2817949.94</v>
      </c>
      <c r="E53" s="12">
        <f t="shared" si="8"/>
        <v>0.86352081894361765</v>
      </c>
      <c r="F53" s="11">
        <f t="shared" si="11"/>
        <v>445376.06000000006</v>
      </c>
      <c r="G53" s="23"/>
      <c r="H53" s="25">
        <f t="shared" si="9"/>
        <v>445376.06000000006</v>
      </c>
      <c r="I53" s="1">
        <v>1</v>
      </c>
      <c r="J53" s="35" t="s">
        <v>30</v>
      </c>
      <c r="K53" s="42">
        <f t="shared" si="20"/>
        <v>3263326</v>
      </c>
      <c r="L53" s="42">
        <f t="shared" si="12"/>
        <v>2817949.94</v>
      </c>
      <c r="M53" s="41">
        <f t="shared" si="10"/>
        <v>0.86352081894361765</v>
      </c>
      <c r="N53" s="42">
        <f t="shared" si="13"/>
        <v>445376.06000000006</v>
      </c>
      <c r="O53" s="42">
        <f>'FY 2009 Exp 01-15-10'!C5</f>
        <v>3360551</v>
      </c>
      <c r="P53" s="42">
        <f>SUM('FY 2009 Exp 01-15-10'!F5:Q5)</f>
        <v>3420570.5100000002</v>
      </c>
      <c r="Q53" s="41">
        <f t="shared" si="14"/>
        <v>1.0178600205740072</v>
      </c>
      <c r="R53" s="42">
        <f>'FY 2009 Exp 01-15-10'!D5</f>
        <v>3318332</v>
      </c>
      <c r="S53" s="41">
        <f t="shared" si="15"/>
        <v>1.0308102112748212</v>
      </c>
      <c r="T53" s="42">
        <f t="shared" si="16"/>
        <v>-60019.510000000242</v>
      </c>
      <c r="U53" s="42">
        <f>'FY 2008 Exp 01-15-10'!C5</f>
        <v>2433415</v>
      </c>
      <c r="V53" s="42">
        <f>SUM('FY 2008 Exp 01-15-10'!F5:Q5)</f>
        <v>2901284.92</v>
      </c>
      <c r="W53" s="41">
        <f t="shared" si="17"/>
        <v>1.1922688567301507</v>
      </c>
      <c r="X53" s="42">
        <f>'FY 2008 Exp 01-15-10'!D5</f>
        <v>3139760</v>
      </c>
      <c r="Y53" s="41">
        <f t="shared" si="18"/>
        <v>0.92404671694651819</v>
      </c>
      <c r="Z53" s="13">
        <f t="shared" si="19"/>
        <v>-467869.91999999993</v>
      </c>
    </row>
    <row r="54" spans="1:26" ht="15.75" customHeight="1">
      <c r="A54" s="135" t="s">
        <v>15</v>
      </c>
      <c r="B54" s="136"/>
      <c r="C54" s="28">
        <f>'FY 2010 Exp as of 01-15-10'!C6</f>
        <v>10604579</v>
      </c>
      <c r="D54" s="28">
        <f>'FY2010 Exp as of 10-15-10'!E6</f>
        <v>9887771.1099999994</v>
      </c>
      <c r="E54" s="12">
        <f t="shared" si="8"/>
        <v>0.93240581356412167</v>
      </c>
      <c r="F54" s="11">
        <f t="shared" si="11"/>
        <v>716807.8900000006</v>
      </c>
      <c r="G54" s="23"/>
      <c r="H54" s="25">
        <f t="shared" si="9"/>
        <v>716807.8900000006</v>
      </c>
      <c r="I54" s="1">
        <v>1</v>
      </c>
      <c r="J54" s="35" t="s">
        <v>15</v>
      </c>
      <c r="K54" s="42">
        <f t="shared" si="20"/>
        <v>10604579</v>
      </c>
      <c r="L54" s="42">
        <f t="shared" si="12"/>
        <v>9887771.1099999994</v>
      </c>
      <c r="M54" s="41">
        <f t="shared" si="10"/>
        <v>0.93240581356412167</v>
      </c>
      <c r="N54" s="42">
        <f t="shared" si="13"/>
        <v>716807.8900000006</v>
      </c>
      <c r="O54" s="42">
        <f>'FY 2009 Exp 01-15-10'!C6</f>
        <v>10906229</v>
      </c>
      <c r="P54" s="42">
        <f>SUM('FY 2009 Exp 01-15-10'!F6:Q6)</f>
        <v>10176911.580000002</v>
      </c>
      <c r="Q54" s="41">
        <f t="shared" si="14"/>
        <v>0.93312835994916321</v>
      </c>
      <c r="R54" s="42">
        <f>'FY 2009 Exp 01-15-10'!D6</f>
        <v>11732575</v>
      </c>
      <c r="S54" s="41">
        <f t="shared" si="15"/>
        <v>0.86740647982220453</v>
      </c>
      <c r="T54" s="42">
        <f t="shared" si="16"/>
        <v>729317.41999999806</v>
      </c>
      <c r="U54" s="42">
        <f>'FY 2008 Exp 01-15-10'!C6</f>
        <v>9925189</v>
      </c>
      <c r="V54" s="42">
        <f>SUM('FY 2008 Exp 01-15-10'!F6:Q6)</f>
        <v>9719584.879999999</v>
      </c>
      <c r="W54" s="41">
        <f t="shared" si="17"/>
        <v>0.9792846141267435</v>
      </c>
      <c r="X54" s="42">
        <f>'FY 2008 Exp 01-15-10'!D6</f>
        <v>10236244</v>
      </c>
      <c r="Y54" s="41">
        <f t="shared" si="18"/>
        <v>0.94952649428833458</v>
      </c>
      <c r="Z54" s="13">
        <f t="shared" si="19"/>
        <v>205604.12000000104</v>
      </c>
    </row>
    <row r="55" spans="1:26" ht="15.75" customHeight="1">
      <c r="A55" s="135" t="s">
        <v>14</v>
      </c>
      <c r="B55" s="136"/>
      <c r="C55" s="28">
        <f>'FY 2010 Exp as of 01-15-10'!C7</f>
        <v>40714461</v>
      </c>
      <c r="D55" s="28">
        <f>'FY2010 Exp as of 10-15-10'!E7</f>
        <v>36772209.93</v>
      </c>
      <c r="E55" s="12">
        <f t="shared" si="8"/>
        <v>0.90317319760170711</v>
      </c>
      <c r="F55" s="11">
        <f t="shared" si="11"/>
        <v>3942251.0700000003</v>
      </c>
      <c r="G55" s="23"/>
      <c r="H55" s="25">
        <f t="shared" si="9"/>
        <v>3942251.0700000003</v>
      </c>
      <c r="I55" s="1">
        <v>1</v>
      </c>
      <c r="J55" s="35" t="s">
        <v>14</v>
      </c>
      <c r="K55" s="42">
        <f t="shared" si="20"/>
        <v>40714461</v>
      </c>
      <c r="L55" s="42">
        <f t="shared" si="12"/>
        <v>36772209.93</v>
      </c>
      <c r="M55" s="41">
        <f t="shared" si="10"/>
        <v>0.90317319760170711</v>
      </c>
      <c r="N55" s="42">
        <f t="shared" si="13"/>
        <v>3942251.0700000003</v>
      </c>
      <c r="O55" s="42">
        <f>'FY 2009 Exp 01-15-10'!C7</f>
        <v>39128938</v>
      </c>
      <c r="P55" s="42">
        <f>SUM('FY 2009 Exp 01-15-10'!F7:Q7)</f>
        <v>29393444.119999997</v>
      </c>
      <c r="Q55" s="41">
        <f t="shared" si="14"/>
        <v>0.75119452820314203</v>
      </c>
      <c r="R55" s="42">
        <f>'FY 2009 Exp 01-15-10'!D7</f>
        <v>41658952</v>
      </c>
      <c r="S55" s="41">
        <f t="shared" si="15"/>
        <v>0.7055732971871207</v>
      </c>
      <c r="T55" s="42">
        <f t="shared" si="16"/>
        <v>9735493.8800000027</v>
      </c>
      <c r="U55" s="42">
        <f>'FY 2008 Exp 01-15-10'!C7</f>
        <v>37639150</v>
      </c>
      <c r="V55" s="42">
        <f>SUM('FY 2008 Exp 01-15-10'!F7:Q7)</f>
        <v>27222387.099999998</v>
      </c>
      <c r="W55" s="41">
        <f t="shared" si="17"/>
        <v>0.72324659563247307</v>
      </c>
      <c r="X55" s="42">
        <f>'FY 2008 Exp 01-15-10'!D7</f>
        <v>36096874</v>
      </c>
      <c r="Y55" s="41">
        <f t="shared" si="18"/>
        <v>0.75414804894185572</v>
      </c>
      <c r="Z55" s="13">
        <f t="shared" si="19"/>
        <v>10416762.900000002</v>
      </c>
    </row>
    <row r="56" spans="1:26" ht="15.75" customHeight="1">
      <c r="A56" s="135" t="s">
        <v>117</v>
      </c>
      <c r="B56" s="136"/>
      <c r="C56" s="28">
        <f>'FY 2010 Exp as of 01-15-10'!C8</f>
        <v>17404071</v>
      </c>
      <c r="D56" s="28">
        <f>'FY2010 Exp as of 10-15-10'!E8</f>
        <v>18387852.719999999</v>
      </c>
      <c r="E56" s="12">
        <f t="shared" si="8"/>
        <v>1.056525954186236</v>
      </c>
      <c r="F56" s="11">
        <f t="shared" si="11"/>
        <v>-983781.71999999881</v>
      </c>
      <c r="G56" s="23"/>
      <c r="H56" s="25">
        <v>0</v>
      </c>
      <c r="I56" s="1">
        <v>1</v>
      </c>
      <c r="J56" s="35" t="s">
        <v>117</v>
      </c>
      <c r="K56" s="42">
        <f t="shared" si="20"/>
        <v>17404071</v>
      </c>
      <c r="L56" s="42">
        <f t="shared" si="12"/>
        <v>18387852.719999999</v>
      </c>
      <c r="M56" s="41">
        <f t="shared" si="10"/>
        <v>1.056525954186236</v>
      </c>
      <c r="N56" s="42">
        <f t="shared" si="13"/>
        <v>-983781.71999999881</v>
      </c>
      <c r="O56" s="42">
        <f>'FY 2009 Exp 01-15-10'!C8</f>
        <v>17368061</v>
      </c>
      <c r="P56" s="42">
        <f>SUM('FY 2009 Exp 01-15-10'!F8:Q8)</f>
        <v>16970444.879999999</v>
      </c>
      <c r="Q56" s="41">
        <f t="shared" si="14"/>
        <v>0.9771064760769782</v>
      </c>
      <c r="R56" s="42">
        <f>'FY 2009 Exp 01-15-10'!D8</f>
        <v>17937753</v>
      </c>
      <c r="S56" s="41">
        <f t="shared" si="15"/>
        <v>0.94607417551128059</v>
      </c>
      <c r="T56" s="42">
        <f t="shared" si="16"/>
        <v>397616.12000000104</v>
      </c>
      <c r="U56" s="42">
        <f>'FY 2008 Exp 01-15-10'!C8</f>
        <v>17183257</v>
      </c>
      <c r="V56" s="42">
        <f>SUM('FY 2008 Exp 01-15-10'!F8:Q8)</f>
        <v>17791258.439999998</v>
      </c>
      <c r="W56" s="41">
        <f t="shared" si="17"/>
        <v>1.0353833641666419</v>
      </c>
      <c r="X56" s="42">
        <f>'FY 2008 Exp 01-15-10'!D8</f>
        <v>15836617</v>
      </c>
      <c r="Y56" s="41">
        <f t="shared" si="18"/>
        <v>1.1234254411785041</v>
      </c>
      <c r="Z56" s="13">
        <f t="shared" si="19"/>
        <v>-608001.43999999762</v>
      </c>
    </row>
    <row r="57" spans="1:26" ht="15.75" customHeight="1">
      <c r="A57" s="135" t="s">
        <v>31</v>
      </c>
      <c r="B57" s="136"/>
      <c r="C57" s="28">
        <f>'FY 2010 Exp as of 01-15-10'!C9</f>
        <v>17413314</v>
      </c>
      <c r="D57" s="28">
        <f>'FY2010 Exp as of 10-15-10'!E9</f>
        <v>15762855.52</v>
      </c>
      <c r="E57" s="12">
        <f t="shared" si="8"/>
        <v>0.90521858848924441</v>
      </c>
      <c r="F57" s="11">
        <f t="shared" si="11"/>
        <v>1650458.4800000004</v>
      </c>
      <c r="G57" s="23"/>
      <c r="H57" s="25">
        <f t="shared" si="9"/>
        <v>1650458.4800000004</v>
      </c>
      <c r="I57" s="1">
        <v>1</v>
      </c>
      <c r="J57" s="35" t="s">
        <v>31</v>
      </c>
      <c r="K57" s="42">
        <f t="shared" si="20"/>
        <v>17413314</v>
      </c>
      <c r="L57" s="42">
        <f t="shared" si="12"/>
        <v>15762855.52</v>
      </c>
      <c r="M57" s="41">
        <f t="shared" si="10"/>
        <v>0.90521858848924441</v>
      </c>
      <c r="N57" s="42">
        <f t="shared" si="13"/>
        <v>1650458.4800000004</v>
      </c>
      <c r="O57" s="42">
        <f>'FY 2009 Exp 01-15-10'!C9</f>
        <v>17278014</v>
      </c>
      <c r="P57" s="42">
        <f>SUM('FY 2009 Exp 01-15-10'!F9:Q9)</f>
        <v>15536742.649999999</v>
      </c>
      <c r="Q57" s="41">
        <f t="shared" si="14"/>
        <v>0.8992203994047</v>
      </c>
      <c r="R57" s="42">
        <f>'FY 2009 Exp 01-15-10'!D9</f>
        <v>17898937</v>
      </c>
      <c r="S57" s="41">
        <f t="shared" si="15"/>
        <v>0.86802599785674417</v>
      </c>
      <c r="T57" s="42">
        <f t="shared" si="16"/>
        <v>1741271.3500000015</v>
      </c>
      <c r="U57" s="42">
        <f>'FY 2008 Exp 01-15-10'!C9</f>
        <v>16892588</v>
      </c>
      <c r="V57" s="42">
        <f>SUM('FY 2008 Exp 01-15-10'!F9:Q9)</f>
        <v>15953689.83</v>
      </c>
      <c r="W57" s="41">
        <f t="shared" si="17"/>
        <v>0.94441951878539865</v>
      </c>
      <c r="X57" s="42">
        <f>'FY 2008 Exp 01-15-10'!D9</f>
        <v>17511804</v>
      </c>
      <c r="Y57" s="41">
        <f t="shared" si="18"/>
        <v>0.91102491953427533</v>
      </c>
      <c r="Z57" s="13">
        <f t="shared" si="19"/>
        <v>938898.16999999993</v>
      </c>
    </row>
    <row r="58" spans="1:26" ht="15.75" customHeight="1">
      <c r="A58" s="135" t="s">
        <v>32</v>
      </c>
      <c r="B58" s="136"/>
      <c r="C58" s="28">
        <f>'FY 2010 Exp as of 01-15-10'!C10</f>
        <v>10775827</v>
      </c>
      <c r="D58" s="28">
        <f>'FY2010 Exp as of 10-15-10'!E10</f>
        <v>10557932.050000001</v>
      </c>
      <c r="E58" s="12">
        <f t="shared" si="8"/>
        <v>0.97977928283369808</v>
      </c>
      <c r="F58" s="11">
        <f t="shared" si="11"/>
        <v>217894.94999999925</v>
      </c>
      <c r="G58" s="23"/>
      <c r="H58" s="25">
        <f t="shared" si="9"/>
        <v>217894.94999999925</v>
      </c>
      <c r="I58" s="1">
        <v>1</v>
      </c>
      <c r="J58" s="35" t="s">
        <v>32</v>
      </c>
      <c r="K58" s="42">
        <f t="shared" si="20"/>
        <v>10775827</v>
      </c>
      <c r="L58" s="42">
        <f t="shared" si="12"/>
        <v>10557932.050000001</v>
      </c>
      <c r="M58" s="41">
        <f t="shared" si="10"/>
        <v>0.97977928283369808</v>
      </c>
      <c r="N58" s="42">
        <f t="shared" si="13"/>
        <v>217894.94999999925</v>
      </c>
      <c r="O58" s="42">
        <f>'FY 2009 Exp 01-15-10'!C10</f>
        <v>10462445</v>
      </c>
      <c r="P58" s="42">
        <f>SUM('FY 2009 Exp 01-15-10'!F10:Q10)</f>
        <v>10216079.879999999</v>
      </c>
      <c r="Q58" s="41">
        <f t="shared" si="14"/>
        <v>0.97645243344170496</v>
      </c>
      <c r="R58" s="42">
        <f>'FY 2009 Exp 01-15-10'!D10</f>
        <v>10559987</v>
      </c>
      <c r="S58" s="41">
        <f t="shared" si="15"/>
        <v>0.96743299778683434</v>
      </c>
      <c r="T58" s="42">
        <f t="shared" si="16"/>
        <v>246365.12000000104</v>
      </c>
      <c r="U58" s="42">
        <f>'FY 2008 Exp 01-15-10'!C10</f>
        <v>10123030</v>
      </c>
      <c r="V58" s="42">
        <f>SUM('FY 2008 Exp 01-15-10'!F10:Q10)</f>
        <v>10033675.629999999</v>
      </c>
      <c r="W58" s="41">
        <f t="shared" si="17"/>
        <v>0.99117315961722907</v>
      </c>
      <c r="X58" s="42">
        <f>'FY 2008 Exp 01-15-10'!D10</f>
        <v>10223818</v>
      </c>
      <c r="Y58" s="41">
        <f t="shared" si="18"/>
        <v>0.981402019284772</v>
      </c>
      <c r="Z58" s="13">
        <f t="shared" si="19"/>
        <v>89354.370000001043</v>
      </c>
    </row>
    <row r="59" spans="1:26" ht="15.75" customHeight="1">
      <c r="A59" s="135" t="s">
        <v>33</v>
      </c>
      <c r="B59" s="136"/>
      <c r="C59" s="28">
        <f>'FY 2010 Exp as of 01-15-10'!C11</f>
        <v>13414559</v>
      </c>
      <c r="D59" s="28">
        <f>'FY2010 Exp as of 10-15-10'!E11</f>
        <v>20392925.18</v>
      </c>
      <c r="E59" s="12">
        <f t="shared" si="8"/>
        <v>1.5202083929855614</v>
      </c>
      <c r="F59" s="11">
        <f t="shared" si="11"/>
        <v>-6978366.1799999997</v>
      </c>
      <c r="G59" s="23"/>
      <c r="H59" s="25">
        <v>0</v>
      </c>
      <c r="I59" s="1">
        <v>1</v>
      </c>
      <c r="J59" s="35" t="s">
        <v>33</v>
      </c>
      <c r="K59" s="42">
        <f t="shared" si="20"/>
        <v>13414559</v>
      </c>
      <c r="L59" s="42">
        <f t="shared" si="12"/>
        <v>20392925.18</v>
      </c>
      <c r="M59" s="41">
        <f t="shared" si="10"/>
        <v>1.5202083929855614</v>
      </c>
      <c r="N59" s="42">
        <f t="shared" si="13"/>
        <v>-6978366.1799999997</v>
      </c>
      <c r="O59" s="42">
        <f>'FY 2009 Exp 01-15-10'!C11</f>
        <v>13483773</v>
      </c>
      <c r="P59" s="42">
        <f>SUM('FY 2009 Exp 01-15-10'!F11:Q11)</f>
        <v>19505932.360000003</v>
      </c>
      <c r="Q59" s="41">
        <f t="shared" si="14"/>
        <v>1.4466227190267889</v>
      </c>
      <c r="R59" s="42">
        <f>'FY 2009 Exp 01-15-10'!D11</f>
        <v>25988724</v>
      </c>
      <c r="S59" s="41">
        <f t="shared" si="15"/>
        <v>0.75055367704855391</v>
      </c>
      <c r="T59" s="42">
        <f t="shared" si="16"/>
        <v>-6022159.3600000031</v>
      </c>
      <c r="U59" s="42">
        <f>'FY 2008 Exp 01-15-10'!C11</f>
        <v>13190056</v>
      </c>
      <c r="V59" s="42">
        <f>SUM('FY 2008 Exp 01-15-10'!F11:Q11)</f>
        <v>31398306.120000001</v>
      </c>
      <c r="W59" s="41">
        <f t="shared" si="17"/>
        <v>2.3804528290099753</v>
      </c>
      <c r="X59" s="42">
        <f>'FY 2008 Exp 01-15-10'!D11</f>
        <v>40957636</v>
      </c>
      <c r="Y59" s="41">
        <f t="shared" si="18"/>
        <v>0.76660445246400455</v>
      </c>
      <c r="Z59" s="13">
        <f t="shared" si="19"/>
        <v>-18208250.120000001</v>
      </c>
    </row>
    <row r="60" spans="1:26" ht="15.75" customHeight="1">
      <c r="A60" s="135" t="s">
        <v>34</v>
      </c>
      <c r="B60" s="136"/>
      <c r="C60" s="28">
        <f>'FY 2010 Exp as of 01-15-10'!C12</f>
        <v>65544767</v>
      </c>
      <c r="D60" s="28">
        <f>'FY2010 Exp as of 10-15-10'!E12</f>
        <v>64205573.079999998</v>
      </c>
      <c r="E60" s="12">
        <f t="shared" si="8"/>
        <v>0.97956825569308981</v>
      </c>
      <c r="F60" s="11">
        <f t="shared" si="11"/>
        <v>1339193.9200000018</v>
      </c>
      <c r="G60" s="23"/>
      <c r="H60" s="25">
        <f t="shared" si="9"/>
        <v>1339193.9200000018</v>
      </c>
      <c r="I60" s="1">
        <v>1</v>
      </c>
      <c r="J60" s="35" t="s">
        <v>34</v>
      </c>
      <c r="K60" s="42">
        <f t="shared" si="20"/>
        <v>65544767</v>
      </c>
      <c r="L60" s="42">
        <f t="shared" si="12"/>
        <v>64205573.079999998</v>
      </c>
      <c r="M60" s="41">
        <f t="shared" si="10"/>
        <v>0.97956825569308981</v>
      </c>
      <c r="N60" s="42">
        <f t="shared" si="13"/>
        <v>1339193.9200000018</v>
      </c>
      <c r="O60" s="42">
        <f>'FY 2009 Exp 01-15-10'!C12</f>
        <v>65608655</v>
      </c>
      <c r="P60" s="42">
        <f>SUM('FY 2009 Exp 01-15-10'!F12:Q12)</f>
        <v>62502496.940000005</v>
      </c>
      <c r="Q60" s="41">
        <f t="shared" si="14"/>
        <v>0.95265627591359714</v>
      </c>
      <c r="R60" s="42">
        <f>'FY 2009 Exp 01-15-10'!D12</f>
        <v>58058647</v>
      </c>
      <c r="S60" s="41">
        <f t="shared" si="15"/>
        <v>1.0765407078811189</v>
      </c>
      <c r="T60" s="42">
        <f t="shared" si="16"/>
        <v>3106158.0599999949</v>
      </c>
      <c r="U60" s="42">
        <f>'FY 2008 Exp 01-15-10'!C12</f>
        <v>64075535</v>
      </c>
      <c r="V60" s="42">
        <f>SUM('FY 2008 Exp 01-15-10'!F12:Q12)</f>
        <v>64200232.190000013</v>
      </c>
      <c r="W60" s="41">
        <f t="shared" si="17"/>
        <v>1.0019460967434766</v>
      </c>
      <c r="X60" s="42">
        <f>'FY 2008 Exp 01-15-10'!D12</f>
        <v>57996969</v>
      </c>
      <c r="Y60" s="41">
        <f t="shared" si="18"/>
        <v>1.106958403119308</v>
      </c>
      <c r="Z60" s="13">
        <f t="shared" si="19"/>
        <v>-124697.19000001252</v>
      </c>
    </row>
    <row r="61" spans="1:26" ht="15.75" customHeight="1">
      <c r="A61" s="135" t="s">
        <v>132</v>
      </c>
      <c r="B61" s="136"/>
      <c r="C61" s="28">
        <f>'FY 2010 Exp as of 01-15-10'!C13</f>
        <v>19347332</v>
      </c>
      <c r="D61" s="28">
        <f>'FY2010 Exp as of 10-15-10'!E13</f>
        <v>56132638.170000002</v>
      </c>
      <c r="E61" s="12">
        <f t="shared" si="8"/>
        <v>2.9013115694711811</v>
      </c>
      <c r="F61" s="11">
        <f t="shared" si="11"/>
        <v>-36785306.170000002</v>
      </c>
      <c r="G61" s="23"/>
      <c r="H61" s="25">
        <v>0</v>
      </c>
      <c r="I61" s="1">
        <v>1</v>
      </c>
      <c r="J61" s="35" t="s">
        <v>132</v>
      </c>
      <c r="K61" s="42">
        <f t="shared" si="20"/>
        <v>19347332</v>
      </c>
      <c r="L61" s="42">
        <f t="shared" si="12"/>
        <v>56132638.170000002</v>
      </c>
      <c r="M61" s="41">
        <f t="shared" si="10"/>
        <v>2.9013115694711811</v>
      </c>
      <c r="N61" s="42">
        <f t="shared" si="13"/>
        <v>-36785306.170000002</v>
      </c>
      <c r="O61" s="42">
        <f>'FY 2009 Exp 01-15-10'!C13</f>
        <v>19861346</v>
      </c>
      <c r="P61" s="42">
        <f>SUM('FY 2009 Exp 01-15-10'!F13:Q13)</f>
        <v>56241618.839999996</v>
      </c>
      <c r="Q61" s="41">
        <f t="shared" si="14"/>
        <v>2.8317123542382272</v>
      </c>
      <c r="R61" s="42">
        <f>'FY 2009 Exp 01-15-10'!D13</f>
        <v>38533167</v>
      </c>
      <c r="S61" s="41">
        <f t="shared" si="15"/>
        <v>1.4595638827195283</v>
      </c>
      <c r="T61" s="42">
        <f t="shared" si="16"/>
        <v>-36380272.839999996</v>
      </c>
      <c r="U61" s="42">
        <f>'FY 2008 Exp 01-15-10'!C13</f>
        <v>17022879</v>
      </c>
      <c r="V61" s="42">
        <f>SUM('FY 2008 Exp 01-15-10'!F13:Q13)</f>
        <v>63038430.679999992</v>
      </c>
      <c r="W61" s="41">
        <f t="shared" si="17"/>
        <v>3.703159182415618</v>
      </c>
      <c r="X61" s="42">
        <f>'FY 2008 Exp 01-15-10'!D13</f>
        <v>37697948</v>
      </c>
      <c r="Y61" s="41">
        <f t="shared" si="18"/>
        <v>1.6721979318343798</v>
      </c>
      <c r="Z61" s="13">
        <f t="shared" si="19"/>
        <v>-46015551.679999992</v>
      </c>
    </row>
    <row r="62" spans="1:26" ht="15.75" customHeight="1" thickBot="1">
      <c r="A62" s="135" t="s">
        <v>35</v>
      </c>
      <c r="B62" s="136"/>
      <c r="C62" s="28">
        <f>'FY 2010 Exp as of 01-15-10'!C14</f>
        <v>26609348</v>
      </c>
      <c r="D62" s="28">
        <f>'FY2010 Exp as of 10-15-10'!E14</f>
        <v>33042450.420000002</v>
      </c>
      <c r="E62" s="12">
        <f t="shared" si="8"/>
        <v>1.241760993918378</v>
      </c>
      <c r="F62" s="11">
        <f t="shared" si="11"/>
        <v>-6433102.4200000018</v>
      </c>
      <c r="G62" s="23"/>
      <c r="H62" s="25">
        <v>0</v>
      </c>
      <c r="I62" s="1">
        <v>1</v>
      </c>
      <c r="J62" s="35" t="s">
        <v>35</v>
      </c>
      <c r="K62" s="44">
        <f t="shared" si="20"/>
        <v>26609348</v>
      </c>
      <c r="L62" s="44">
        <f t="shared" si="12"/>
        <v>33042450.420000002</v>
      </c>
      <c r="M62" s="38">
        <f t="shared" si="10"/>
        <v>1.241760993918378</v>
      </c>
      <c r="N62" s="44">
        <f t="shared" si="13"/>
        <v>-6433102.4200000018</v>
      </c>
      <c r="O62" s="44">
        <f>'FY 2009 Exp 01-15-10'!C14</f>
        <v>27673796</v>
      </c>
      <c r="P62" s="44">
        <f>SUM('FY 2009 Exp 01-15-10'!F14:Q14)</f>
        <v>81259893.120000005</v>
      </c>
      <c r="Q62" s="38">
        <f t="shared" si="14"/>
        <v>2.9363479126607714</v>
      </c>
      <c r="R62" s="44">
        <f>'FY 2009 Exp 01-15-10'!D14</f>
        <v>70249042</v>
      </c>
      <c r="S62" s="38">
        <f t="shared" si="15"/>
        <v>1.1567402317030886</v>
      </c>
      <c r="T62" s="44">
        <f t="shared" si="16"/>
        <v>-53586097.120000005</v>
      </c>
      <c r="U62" s="44">
        <f>'FY 2008 Exp 01-15-10'!C14</f>
        <v>25864446</v>
      </c>
      <c r="V62" s="44">
        <f>SUM('FY 2008 Exp 01-15-10'!F14:Q14)</f>
        <v>41401503.990000002</v>
      </c>
      <c r="W62" s="38">
        <f t="shared" si="17"/>
        <v>1.6007110297278357</v>
      </c>
      <c r="X62" s="44">
        <f>'FY 2008 Exp 01-15-10'!D14</f>
        <v>40216702</v>
      </c>
      <c r="Y62" s="38">
        <f t="shared" si="18"/>
        <v>1.0294604463090982</v>
      </c>
      <c r="Z62" s="45">
        <f t="shared" si="19"/>
        <v>-15537057.990000002</v>
      </c>
    </row>
    <row r="63" spans="1:26" ht="15.75" customHeight="1" thickBot="1">
      <c r="A63" s="139" t="s">
        <v>28</v>
      </c>
      <c r="B63" s="140"/>
      <c r="C63" s="20">
        <f>SUM(C50:C62)</f>
        <v>270182156</v>
      </c>
      <c r="D63" s="20">
        <f>SUM(D50:D62)</f>
        <v>315190608.11000001</v>
      </c>
      <c r="E63" s="12">
        <f t="shared" si="8"/>
        <v>1.166585583505374</v>
      </c>
      <c r="F63" s="11">
        <f t="shared" si="11"/>
        <v>-45008452.110000014</v>
      </c>
      <c r="G63" s="23"/>
      <c r="J63" s="30"/>
      <c r="K63" s="43">
        <f>SUM(K50:K62)</f>
        <v>270182156</v>
      </c>
      <c r="L63" s="43">
        <f>SUM(L50:L62)</f>
        <v>315190608.11000001</v>
      </c>
      <c r="M63" s="39">
        <f t="shared" si="10"/>
        <v>1.166585583505374</v>
      </c>
      <c r="N63" s="43">
        <f>SUM(N50:N62)</f>
        <v>-45008452.109999999</v>
      </c>
      <c r="O63" s="43">
        <f t="shared" ref="O63:Z63" si="21">SUM(O50:O62)</f>
        <v>269482206</v>
      </c>
      <c r="P63" s="43">
        <f t="shared" si="21"/>
        <v>357437003.18000001</v>
      </c>
      <c r="Q63" s="39">
        <f t="shared" si="14"/>
        <v>1.3263844336349244</v>
      </c>
      <c r="R63" s="43">
        <f t="shared" si="21"/>
        <v>345653526</v>
      </c>
      <c r="S63" s="39">
        <f t="shared" si="15"/>
        <v>1.0340904295592228</v>
      </c>
      <c r="T63" s="43">
        <f t="shared" si="21"/>
        <v>-87954797.180000007</v>
      </c>
      <c r="U63" s="43">
        <f t="shared" si="21"/>
        <v>255607673</v>
      </c>
      <c r="V63" s="43">
        <f t="shared" si="21"/>
        <v>336518472.64000005</v>
      </c>
      <c r="W63" s="39">
        <f t="shared" si="17"/>
        <v>1.3165429217768436</v>
      </c>
      <c r="X63" s="43">
        <f t="shared" si="21"/>
        <v>322179771</v>
      </c>
      <c r="Y63" s="39">
        <f t="shared" si="18"/>
        <v>1.0445052822388405</v>
      </c>
      <c r="Z63" s="43">
        <f t="shared" si="21"/>
        <v>-80910799.640000001</v>
      </c>
    </row>
    <row r="64" spans="1:26" ht="13.5" thickTop="1">
      <c r="J64" s="79"/>
    </row>
    <row r="65" spans="10:10">
      <c r="J65" s="79"/>
    </row>
    <row r="66" spans="10:10">
      <c r="J66" s="79"/>
    </row>
    <row r="67" spans="10:10">
      <c r="J67" s="79"/>
    </row>
    <row r="68" spans="10:10">
      <c r="J68" s="79"/>
    </row>
    <row r="69" spans="10:10">
      <c r="J69" s="79"/>
    </row>
    <row r="70" spans="10:10">
      <c r="J70" s="79"/>
    </row>
    <row r="71" spans="10:10">
      <c r="J71" s="79"/>
    </row>
    <row r="72" spans="10:10">
      <c r="J72" s="79"/>
    </row>
    <row r="73" spans="10:10">
      <c r="J73" s="79"/>
    </row>
    <row r="74" spans="10:10">
      <c r="J74" s="79"/>
    </row>
    <row r="75" spans="10:10">
      <c r="J75" s="79"/>
    </row>
    <row r="76" spans="10:10">
      <c r="J76" s="79"/>
    </row>
    <row r="77" spans="10:10">
      <c r="J77" s="80"/>
    </row>
    <row r="78" spans="10:10">
      <c r="J78" s="81"/>
    </row>
  </sheetData>
  <mergeCells count="28"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A59:B59"/>
    <mergeCell ref="A53:B53"/>
    <mergeCell ref="A19:B19"/>
    <mergeCell ref="A20:B20"/>
    <mergeCell ref="A21:B21"/>
    <mergeCell ref="A22:B22"/>
    <mergeCell ref="A23:B23"/>
    <mergeCell ref="A24:B24"/>
    <mergeCell ref="A47:F47"/>
    <mergeCell ref="A49:B49"/>
    <mergeCell ref="A50:B50"/>
    <mergeCell ref="A51:B51"/>
    <mergeCell ref="A52:B52"/>
    <mergeCell ref="A18:B18"/>
    <mergeCell ref="B3:D3"/>
    <mergeCell ref="A13:F13"/>
    <mergeCell ref="A14:F14"/>
    <mergeCell ref="A16:B16"/>
    <mergeCell ref="A17:B17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opLeftCell="A16" workbookViewId="0">
      <selection activeCell="D11" sqref="D11"/>
    </sheetView>
  </sheetViews>
  <sheetFormatPr defaultRowHeight="15.75"/>
  <cols>
    <col min="1" max="1" width="27.25" bestFit="1" customWidth="1"/>
    <col min="2" max="2" width="26.625" bestFit="1" customWidth="1"/>
    <col min="3" max="3" width="5.5" bestFit="1" customWidth="1"/>
    <col min="4" max="4" width="13.5" bestFit="1" customWidth="1"/>
    <col min="5" max="5" width="14.875" bestFit="1" customWidth="1"/>
  </cols>
  <sheetData>
    <row r="1" spans="1:5" ht="25.5">
      <c r="A1" s="46" t="s">
        <v>55</v>
      </c>
      <c r="B1" s="47" t="s">
        <v>56</v>
      </c>
      <c r="C1" s="47" t="s">
        <v>57</v>
      </c>
      <c r="D1" s="47" t="s">
        <v>5</v>
      </c>
      <c r="E1" s="48" t="s">
        <v>58</v>
      </c>
    </row>
    <row r="2" spans="1:5">
      <c r="A2" s="50" t="s">
        <v>16</v>
      </c>
      <c r="B2" s="51" t="s">
        <v>71</v>
      </c>
      <c r="C2" s="52">
        <v>2010</v>
      </c>
      <c r="D2" s="53">
        <v>175146677.47</v>
      </c>
      <c r="E2" s="54">
        <v>175939506</v>
      </c>
    </row>
    <row r="3" spans="1:5">
      <c r="A3" s="67"/>
      <c r="B3" s="68"/>
      <c r="C3" s="68"/>
      <c r="D3" s="57">
        <f>SUBTOTAL(9,D2:D2)</f>
        <v>175146677.47</v>
      </c>
      <c r="E3" s="57">
        <f>SUBTOTAL(9,E2:E2)</f>
        <v>175939506</v>
      </c>
    </row>
    <row r="4" spans="1:5">
      <c r="A4" s="59" t="s">
        <v>0</v>
      </c>
      <c r="B4" s="51" t="s">
        <v>72</v>
      </c>
      <c r="C4" s="52">
        <v>2010</v>
      </c>
      <c r="D4" s="53">
        <v>2500</v>
      </c>
      <c r="E4" s="54">
        <v>4000</v>
      </c>
    </row>
    <row r="5" spans="1:5">
      <c r="A5" s="60"/>
      <c r="B5" s="51" t="s">
        <v>73</v>
      </c>
      <c r="C5" s="52">
        <v>2010</v>
      </c>
      <c r="D5" s="53">
        <v>252148.6</v>
      </c>
      <c r="E5" s="54">
        <v>331854</v>
      </c>
    </row>
    <row r="6" spans="1:5">
      <c r="A6" s="67"/>
      <c r="B6" s="68"/>
      <c r="C6" s="68"/>
      <c r="D6" s="57">
        <f>SUBTOTAL(9,D4:D5)</f>
        <v>254648.6</v>
      </c>
      <c r="E6" s="57">
        <f>SUBTOTAL(9,E4:E5)</f>
        <v>335854</v>
      </c>
    </row>
    <row r="7" spans="1:5">
      <c r="A7" s="59" t="s">
        <v>17</v>
      </c>
      <c r="B7" s="51" t="s">
        <v>74</v>
      </c>
      <c r="C7" s="52">
        <v>2010</v>
      </c>
      <c r="D7" s="53">
        <v>2613763.88</v>
      </c>
      <c r="E7" s="54">
        <v>1269976</v>
      </c>
    </row>
    <row r="8" spans="1:5">
      <c r="A8" s="61"/>
      <c r="B8" s="51" t="s">
        <v>118</v>
      </c>
      <c r="C8" s="52">
        <v>2010</v>
      </c>
      <c r="D8" s="53">
        <v>0</v>
      </c>
      <c r="E8" s="54">
        <v>0</v>
      </c>
    </row>
    <row r="9" spans="1:5">
      <c r="A9" s="61"/>
      <c r="B9" s="51" t="s">
        <v>128</v>
      </c>
      <c r="C9" s="52">
        <v>2010</v>
      </c>
      <c r="D9" s="53">
        <v>531714</v>
      </c>
      <c r="E9" s="54">
        <v>673124</v>
      </c>
    </row>
    <row r="10" spans="1:5">
      <c r="A10" s="61"/>
      <c r="B10" s="51" t="s">
        <v>75</v>
      </c>
      <c r="C10" s="52">
        <v>2010</v>
      </c>
      <c r="D10" s="53">
        <v>89647</v>
      </c>
      <c r="E10" s="54">
        <v>55620</v>
      </c>
    </row>
    <row r="11" spans="1:5">
      <c r="A11" s="61"/>
      <c r="B11" s="51" t="s">
        <v>76</v>
      </c>
      <c r="C11" s="52">
        <v>2010</v>
      </c>
      <c r="D11" s="53">
        <v>27211362.16</v>
      </c>
      <c r="E11" s="54">
        <v>6644838</v>
      </c>
    </row>
    <row r="12" spans="1:5">
      <c r="A12" s="60"/>
      <c r="B12" s="51" t="s">
        <v>77</v>
      </c>
      <c r="C12" s="52">
        <v>2010</v>
      </c>
      <c r="D12" s="53">
        <v>1918202.33</v>
      </c>
      <c r="E12" s="54">
        <v>2120000</v>
      </c>
    </row>
    <row r="13" spans="1:5">
      <c r="A13" s="67"/>
      <c r="B13" s="68"/>
      <c r="C13" s="68"/>
      <c r="D13" s="57">
        <f>SUBTOTAL(9,D7:D12)</f>
        <v>32364689.369999997</v>
      </c>
      <c r="E13" s="57">
        <f>SUBTOTAL(9,E7:E12)</f>
        <v>10763558</v>
      </c>
    </row>
    <row r="14" spans="1:5">
      <c r="A14" s="59" t="s">
        <v>20</v>
      </c>
      <c r="B14" s="51" t="s">
        <v>78</v>
      </c>
      <c r="C14" s="52">
        <v>2010</v>
      </c>
      <c r="D14" s="53">
        <v>7067026.2199999997</v>
      </c>
      <c r="E14" s="54">
        <v>8390320</v>
      </c>
    </row>
    <row r="15" spans="1:5">
      <c r="A15" s="61"/>
      <c r="B15" s="51" t="s">
        <v>79</v>
      </c>
      <c r="C15" s="52">
        <v>2010</v>
      </c>
      <c r="D15" s="53">
        <v>5917283.0800000001</v>
      </c>
      <c r="E15" s="54">
        <v>6063862</v>
      </c>
    </row>
    <row r="16" spans="1:5">
      <c r="A16" s="61"/>
      <c r="B16" s="51" t="s">
        <v>80</v>
      </c>
      <c r="C16" s="52">
        <v>2010</v>
      </c>
      <c r="D16" s="53">
        <v>0</v>
      </c>
      <c r="E16" s="54">
        <v>0</v>
      </c>
    </row>
    <row r="17" spans="1:5">
      <c r="A17" s="61"/>
      <c r="B17" s="51" t="s">
        <v>81</v>
      </c>
      <c r="C17" s="52">
        <v>2010</v>
      </c>
      <c r="D17" s="53">
        <v>7731209.2199999997</v>
      </c>
      <c r="E17" s="54">
        <v>8042780</v>
      </c>
    </row>
    <row r="18" spans="1:5">
      <c r="A18" s="61"/>
      <c r="B18" s="51" t="s">
        <v>82</v>
      </c>
      <c r="C18" s="52">
        <v>2010</v>
      </c>
      <c r="D18" s="53">
        <v>27240</v>
      </c>
      <c r="E18" s="54">
        <v>23000</v>
      </c>
    </row>
    <row r="19" spans="1:5">
      <c r="A19" s="61"/>
      <c r="B19" s="51" t="s">
        <v>83</v>
      </c>
      <c r="C19" s="52">
        <v>2010</v>
      </c>
      <c r="D19" s="53">
        <v>4524822.2</v>
      </c>
      <c r="E19" s="54">
        <v>6038174</v>
      </c>
    </row>
    <row r="20" spans="1:5">
      <c r="A20" s="60"/>
      <c r="B20" s="51" t="s">
        <v>119</v>
      </c>
      <c r="C20" s="52">
        <v>2010</v>
      </c>
      <c r="D20" s="53">
        <v>11598621.76</v>
      </c>
      <c r="E20" s="54">
        <v>11793090</v>
      </c>
    </row>
    <row r="21" spans="1:5">
      <c r="A21" s="67"/>
      <c r="B21" s="68"/>
      <c r="C21" s="68"/>
      <c r="D21" s="57">
        <f>SUBTOTAL(9,D14:D20)</f>
        <v>36866202.479999997</v>
      </c>
      <c r="E21" s="57">
        <f>SUBTOTAL(9,E14:E20)</f>
        <v>40351226</v>
      </c>
    </row>
    <row r="22" spans="1:5">
      <c r="A22" s="50" t="s">
        <v>22</v>
      </c>
      <c r="B22" s="51" t="s">
        <v>84</v>
      </c>
      <c r="C22" s="52">
        <v>2010</v>
      </c>
      <c r="D22" s="53">
        <v>3808418.44</v>
      </c>
      <c r="E22" s="54">
        <v>4596375</v>
      </c>
    </row>
    <row r="23" spans="1:5">
      <c r="A23" s="67"/>
      <c r="B23" s="68"/>
      <c r="C23" s="68"/>
      <c r="D23" s="57">
        <f>SUBTOTAL(9,D22:D22)</f>
        <v>3808418.44</v>
      </c>
      <c r="E23" s="57">
        <f>SUBTOTAL(9,E22:E22)</f>
        <v>4596375</v>
      </c>
    </row>
    <row r="24" spans="1:5">
      <c r="A24" s="59" t="s">
        <v>18</v>
      </c>
      <c r="B24" s="51" t="s">
        <v>85</v>
      </c>
      <c r="C24" s="52">
        <v>2010</v>
      </c>
      <c r="D24" s="53">
        <v>4016323.17</v>
      </c>
      <c r="E24" s="54">
        <v>7233204</v>
      </c>
    </row>
    <row r="25" spans="1:5">
      <c r="A25" s="60"/>
      <c r="B25" s="51" t="s">
        <v>86</v>
      </c>
      <c r="C25" s="52">
        <v>2010</v>
      </c>
      <c r="D25" s="53">
        <v>1350181.3</v>
      </c>
      <c r="E25" s="54">
        <v>1372862</v>
      </c>
    </row>
    <row r="26" spans="1:5">
      <c r="A26" s="67"/>
      <c r="B26" s="68"/>
      <c r="C26" s="68"/>
      <c r="D26" s="57">
        <f>SUBTOTAL(9,D24:D25)</f>
        <v>5366504.47</v>
      </c>
      <c r="E26" s="57">
        <f>SUBTOTAL(9,E24:E25)</f>
        <v>8606066</v>
      </c>
    </row>
    <row r="27" spans="1:5">
      <c r="A27" s="59" t="s">
        <v>21</v>
      </c>
      <c r="B27" s="51" t="s">
        <v>120</v>
      </c>
      <c r="C27" s="52">
        <v>2010</v>
      </c>
      <c r="D27" s="53">
        <v>2779182.98</v>
      </c>
      <c r="E27" s="54">
        <v>0</v>
      </c>
    </row>
    <row r="28" spans="1:5">
      <c r="A28" s="61"/>
      <c r="B28" s="51" t="s">
        <v>87</v>
      </c>
      <c r="C28" s="52">
        <v>2010</v>
      </c>
      <c r="D28" s="53">
        <v>798472.24</v>
      </c>
      <c r="E28" s="54">
        <v>0</v>
      </c>
    </row>
    <row r="29" spans="1:5">
      <c r="A29" s="60"/>
      <c r="B29" s="51" t="s">
        <v>121</v>
      </c>
      <c r="C29" s="52">
        <v>2010</v>
      </c>
      <c r="D29" s="53">
        <v>19717375.93</v>
      </c>
      <c r="E29" s="54">
        <v>19563765</v>
      </c>
    </row>
    <row r="30" spans="1:5">
      <c r="A30" s="67"/>
      <c r="B30" s="68"/>
      <c r="C30" s="68"/>
      <c r="D30" s="57">
        <f>SUBTOTAL(9,D27:D29)</f>
        <v>23295031.149999999</v>
      </c>
      <c r="E30" s="57">
        <f>SUBTOTAL(9,E27:E29)</f>
        <v>19563765</v>
      </c>
    </row>
    <row r="31" spans="1:5">
      <c r="A31" s="59" t="s">
        <v>19</v>
      </c>
      <c r="B31" s="51" t="s">
        <v>88</v>
      </c>
      <c r="C31" s="52">
        <v>2010</v>
      </c>
      <c r="D31" s="53">
        <v>12562.12</v>
      </c>
      <c r="E31" s="54">
        <v>73336</v>
      </c>
    </row>
    <row r="32" spans="1:5">
      <c r="A32" s="61"/>
      <c r="B32" s="51" t="s">
        <v>89</v>
      </c>
      <c r="C32" s="52">
        <v>2010</v>
      </c>
      <c r="D32" s="53">
        <v>1314954.19</v>
      </c>
      <c r="E32" s="54">
        <v>865419</v>
      </c>
    </row>
    <row r="33" spans="1:5">
      <c r="A33" s="61"/>
      <c r="B33" s="51" t="s">
        <v>122</v>
      </c>
      <c r="C33" s="52">
        <v>2010</v>
      </c>
      <c r="D33" s="53">
        <v>178082.48</v>
      </c>
      <c r="E33" s="54">
        <v>0</v>
      </c>
    </row>
    <row r="34" spans="1:5">
      <c r="A34" s="61"/>
      <c r="B34" s="51" t="s">
        <v>90</v>
      </c>
      <c r="C34" s="52">
        <v>2010</v>
      </c>
      <c r="D34" s="53">
        <v>0</v>
      </c>
      <c r="E34" s="54">
        <v>0</v>
      </c>
    </row>
    <row r="35" spans="1:5">
      <c r="A35" s="60"/>
      <c r="B35" s="51" t="s">
        <v>123</v>
      </c>
      <c r="C35" s="52">
        <v>2010</v>
      </c>
      <c r="D35" s="53">
        <v>31639.65</v>
      </c>
      <c r="E35" s="54">
        <v>41606</v>
      </c>
    </row>
    <row r="36" spans="1:5">
      <c r="A36" s="67"/>
      <c r="B36" s="68"/>
      <c r="C36" s="68"/>
      <c r="D36" s="57">
        <f>SUBTOTAL(9,D31:D35)</f>
        <v>1537238.44</v>
      </c>
      <c r="E36" s="57">
        <f>SUBTOTAL(9,E31:E35)</f>
        <v>980361</v>
      </c>
    </row>
    <row r="37" spans="1:5">
      <c r="A37" s="59" t="s">
        <v>6</v>
      </c>
      <c r="B37" s="51" t="s">
        <v>124</v>
      </c>
      <c r="C37" s="52">
        <v>2010</v>
      </c>
      <c r="D37" s="53">
        <v>0</v>
      </c>
      <c r="E37" s="54">
        <v>0</v>
      </c>
    </row>
    <row r="38" spans="1:5">
      <c r="A38" s="61"/>
      <c r="B38" s="51" t="s">
        <v>125</v>
      </c>
      <c r="C38" s="52">
        <v>2010</v>
      </c>
      <c r="D38" s="53">
        <v>0</v>
      </c>
      <c r="E38" s="54">
        <v>0</v>
      </c>
    </row>
    <row r="39" spans="1:5">
      <c r="A39" s="61"/>
      <c r="B39" s="51" t="s">
        <v>126</v>
      </c>
      <c r="C39" s="52">
        <v>2010</v>
      </c>
      <c r="D39" s="53">
        <v>0</v>
      </c>
      <c r="E39" s="54">
        <v>0</v>
      </c>
    </row>
    <row r="40" spans="1:5">
      <c r="A40" s="61"/>
      <c r="B40" s="51" t="s">
        <v>129</v>
      </c>
      <c r="C40" s="52">
        <v>2010</v>
      </c>
      <c r="D40" s="53">
        <v>0</v>
      </c>
      <c r="E40" s="54">
        <v>0</v>
      </c>
    </row>
    <row r="41" spans="1:5">
      <c r="A41" s="61"/>
      <c r="B41" s="51" t="s">
        <v>91</v>
      </c>
      <c r="C41" s="52">
        <v>2010</v>
      </c>
      <c r="D41" s="53">
        <v>9871965.8900000006</v>
      </c>
      <c r="E41" s="54">
        <v>9210036</v>
      </c>
    </row>
    <row r="42" spans="1:5">
      <c r="A42" s="60"/>
      <c r="B42" s="51" t="s">
        <v>92</v>
      </c>
      <c r="C42" s="52">
        <v>2010</v>
      </c>
      <c r="D42" s="53">
        <v>74398.22</v>
      </c>
      <c r="E42" s="54">
        <v>55000</v>
      </c>
    </row>
    <row r="43" spans="1:5">
      <c r="A43" s="67"/>
      <c r="B43" s="68"/>
      <c r="C43" s="68"/>
      <c r="D43" s="69">
        <f>SUBTOTAL(9,D37:D42)</f>
        <v>9946364.1100000013</v>
      </c>
      <c r="E43" s="69">
        <f>SUBTOTAL(9,E37:E42)</f>
        <v>9265036</v>
      </c>
    </row>
    <row r="44" spans="1:5">
      <c r="A44" s="70"/>
      <c r="B44" s="71"/>
      <c r="C44" s="71"/>
      <c r="D44" s="64">
        <f>SUBTOTAL(9,D2:D43)</f>
        <v>288585774.52999997</v>
      </c>
      <c r="E44" s="64">
        <f>SUBTOTAL(9,E2:E43)</f>
        <v>270401747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13" sqref="E13"/>
    </sheetView>
  </sheetViews>
  <sheetFormatPr defaultRowHeight="15.75"/>
  <cols>
    <col min="1" max="1" width="7.25" bestFit="1" customWidth="1"/>
    <col min="2" max="2" width="23.375" bestFit="1" customWidth="1"/>
    <col min="3" max="5" width="13.5" bestFit="1" customWidth="1"/>
  </cols>
  <sheetData>
    <row r="1" spans="1:5" ht="38.25">
      <c r="A1" s="46" t="s">
        <v>96</v>
      </c>
      <c r="B1" s="46" t="s">
        <v>55</v>
      </c>
      <c r="C1" s="47" t="s">
        <v>97</v>
      </c>
      <c r="D1" s="47" t="s">
        <v>98</v>
      </c>
      <c r="E1" s="48" t="s">
        <v>99</v>
      </c>
    </row>
    <row r="2" spans="1:5">
      <c r="A2" s="72">
        <v>80</v>
      </c>
      <c r="B2" s="59" t="s">
        <v>11</v>
      </c>
      <c r="C2" s="53">
        <v>346531</v>
      </c>
      <c r="D2" s="53">
        <v>349261</v>
      </c>
      <c r="E2" s="54">
        <v>277303.21999999997</v>
      </c>
    </row>
    <row r="3" spans="1:5">
      <c r="A3" s="72">
        <v>76</v>
      </c>
      <c r="B3" s="59" t="s">
        <v>8</v>
      </c>
      <c r="C3" s="53">
        <v>1078918</v>
      </c>
      <c r="D3" s="53">
        <v>1225060</v>
      </c>
      <c r="E3" s="54">
        <v>3117445.65</v>
      </c>
    </row>
    <row r="4" spans="1:5">
      <c r="A4" s="72">
        <v>85</v>
      </c>
      <c r="B4" s="59" t="s">
        <v>100</v>
      </c>
      <c r="C4" s="53">
        <v>43665123</v>
      </c>
      <c r="D4" s="53">
        <v>43956284</v>
      </c>
      <c r="E4" s="54">
        <v>43835701.119999997</v>
      </c>
    </row>
    <row r="5" spans="1:5">
      <c r="A5" s="72">
        <v>60</v>
      </c>
      <c r="B5" s="59" t="s">
        <v>9</v>
      </c>
      <c r="C5" s="53">
        <v>3263326</v>
      </c>
      <c r="D5" s="53">
        <v>3313660</v>
      </c>
      <c r="E5" s="54">
        <v>2817949.94</v>
      </c>
    </row>
    <row r="6" spans="1:5">
      <c r="A6" s="72">
        <v>48</v>
      </c>
      <c r="B6" s="59" t="s">
        <v>47</v>
      </c>
      <c r="C6" s="53">
        <v>10604579</v>
      </c>
      <c r="D6" s="53">
        <v>10784418</v>
      </c>
      <c r="E6" s="54">
        <v>9887771.1099999994</v>
      </c>
    </row>
    <row r="7" spans="1:5">
      <c r="A7" s="72">
        <v>41</v>
      </c>
      <c r="B7" s="59" t="s">
        <v>46</v>
      </c>
      <c r="C7" s="53">
        <v>40714461</v>
      </c>
      <c r="D7" s="53">
        <v>48831063</v>
      </c>
      <c r="E7" s="54">
        <v>36772209.93</v>
      </c>
    </row>
    <row r="8" spans="1:5">
      <c r="A8" s="72">
        <v>72</v>
      </c>
      <c r="B8" s="59" t="s">
        <v>10</v>
      </c>
      <c r="C8" s="53">
        <v>17404071</v>
      </c>
      <c r="D8" s="53">
        <v>16640866</v>
      </c>
      <c r="E8" s="54">
        <v>18387852.719999999</v>
      </c>
    </row>
    <row r="9" spans="1:5">
      <c r="A9" s="72">
        <v>44</v>
      </c>
      <c r="B9" s="59" t="s">
        <v>49</v>
      </c>
      <c r="C9" s="53">
        <v>17413314</v>
      </c>
      <c r="D9" s="53">
        <v>17656242</v>
      </c>
      <c r="E9" s="54">
        <v>15762855.52</v>
      </c>
    </row>
    <row r="10" spans="1:5">
      <c r="A10" s="72">
        <v>52</v>
      </c>
      <c r="B10" s="59" t="s">
        <v>50</v>
      </c>
      <c r="C10" s="53">
        <v>10775827</v>
      </c>
      <c r="D10" s="53">
        <v>11021710</v>
      </c>
      <c r="E10" s="54">
        <v>10557932.050000001</v>
      </c>
    </row>
    <row r="11" spans="1:5">
      <c r="A11" s="72">
        <v>56</v>
      </c>
      <c r="B11" s="59" t="s">
        <v>7</v>
      </c>
      <c r="C11" s="53">
        <v>13414559</v>
      </c>
      <c r="D11" s="53">
        <v>28885628</v>
      </c>
      <c r="E11" s="54">
        <v>20392925.18</v>
      </c>
    </row>
    <row r="12" spans="1:5">
      <c r="A12" s="72">
        <v>64</v>
      </c>
      <c r="B12" s="59" t="s">
        <v>48</v>
      </c>
      <c r="C12" s="53">
        <v>65544767</v>
      </c>
      <c r="D12" s="53">
        <v>59724861</v>
      </c>
      <c r="E12" s="54">
        <v>64205573.079999998</v>
      </c>
    </row>
    <row r="13" spans="1:5">
      <c r="A13" s="72">
        <v>68</v>
      </c>
      <c r="B13" s="59" t="s">
        <v>101</v>
      </c>
      <c r="C13" s="53">
        <v>19347332</v>
      </c>
      <c r="D13" s="53">
        <v>47033475</v>
      </c>
      <c r="E13" s="54">
        <v>56132638.170000002</v>
      </c>
    </row>
    <row r="14" spans="1:5">
      <c r="A14" s="73">
        <v>88</v>
      </c>
      <c r="B14" s="50" t="s">
        <v>12</v>
      </c>
      <c r="C14" s="53">
        <v>26609348</v>
      </c>
      <c r="D14" s="53">
        <v>28097563</v>
      </c>
      <c r="E14" s="54">
        <v>33042450.420000002</v>
      </c>
    </row>
    <row r="15" spans="1:5">
      <c r="A15" s="74"/>
      <c r="B15" s="75"/>
      <c r="C15" s="76">
        <f>SUBTOTAL(9,C2:C14)</f>
        <v>270182156</v>
      </c>
      <c r="D15" s="76">
        <f>SUBTOTAL(9,D2:D14)</f>
        <v>317520091</v>
      </c>
      <c r="E15" s="76">
        <f>SUBTOTAL(9,E2:E14)</f>
        <v>315190608.11000001</v>
      </c>
    </row>
    <row r="16" spans="1:5">
      <c r="A16" s="75"/>
      <c r="B16" s="75"/>
      <c r="C16" s="75"/>
      <c r="D16" s="75"/>
      <c r="E16" s="75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opLeftCell="A16" workbookViewId="0">
      <selection activeCell="D16" sqref="D16"/>
    </sheetView>
  </sheetViews>
  <sheetFormatPr defaultRowHeight="15.75"/>
  <cols>
    <col min="1" max="1" width="27.25" bestFit="1" customWidth="1"/>
    <col min="2" max="2" width="26.625" bestFit="1" customWidth="1"/>
    <col min="3" max="3" width="5.5" bestFit="1" customWidth="1"/>
    <col min="4" max="4" width="13.5" bestFit="1" customWidth="1"/>
    <col min="5" max="5" width="14.875" bestFit="1" customWidth="1"/>
  </cols>
  <sheetData>
    <row r="1" spans="1:5" ht="25.5">
      <c r="A1" s="46" t="s">
        <v>55</v>
      </c>
      <c r="B1" s="47" t="s">
        <v>56</v>
      </c>
      <c r="C1" s="47" t="s">
        <v>57</v>
      </c>
      <c r="D1" s="47" t="s">
        <v>5</v>
      </c>
      <c r="E1" s="48" t="s">
        <v>58</v>
      </c>
    </row>
    <row r="2" spans="1:5">
      <c r="A2" s="50" t="s">
        <v>16</v>
      </c>
      <c r="B2" s="51" t="s">
        <v>71</v>
      </c>
      <c r="C2" s="52">
        <v>2010</v>
      </c>
      <c r="D2" s="53">
        <v>173979625.33000001</v>
      </c>
      <c r="E2" s="54">
        <v>175939506</v>
      </c>
    </row>
    <row r="3" spans="1:5">
      <c r="A3" s="67"/>
      <c r="B3" s="68"/>
      <c r="C3" s="68"/>
      <c r="D3" s="57">
        <f>SUBTOTAL(9,D2:D2)</f>
        <v>173979625.33000001</v>
      </c>
      <c r="E3" s="57">
        <f>SUBTOTAL(9,E2:E2)</f>
        <v>175939506</v>
      </c>
    </row>
    <row r="4" spans="1:5">
      <c r="A4" s="59" t="s">
        <v>0</v>
      </c>
      <c r="B4" s="51" t="s">
        <v>72</v>
      </c>
      <c r="C4" s="52">
        <v>2010</v>
      </c>
      <c r="D4" s="53">
        <v>2500</v>
      </c>
      <c r="E4" s="54">
        <v>4000</v>
      </c>
    </row>
    <row r="5" spans="1:5">
      <c r="A5" s="60"/>
      <c r="B5" s="51" t="s">
        <v>73</v>
      </c>
      <c r="C5" s="52">
        <v>2010</v>
      </c>
      <c r="D5" s="53">
        <v>210328.2</v>
      </c>
      <c r="E5" s="54">
        <v>331854</v>
      </c>
    </row>
    <row r="6" spans="1:5">
      <c r="A6" s="67"/>
      <c r="B6" s="68"/>
      <c r="C6" s="68"/>
      <c r="D6" s="57">
        <f>SUBTOTAL(9,D4:D5)</f>
        <v>212828.2</v>
      </c>
      <c r="E6" s="57">
        <f>SUBTOTAL(9,E4:E5)</f>
        <v>335854</v>
      </c>
    </row>
    <row r="7" spans="1:5">
      <c r="A7" s="59" t="s">
        <v>17</v>
      </c>
      <c r="B7" s="51" t="s">
        <v>74</v>
      </c>
      <c r="C7" s="52">
        <v>2010</v>
      </c>
      <c r="D7" s="53">
        <v>2037333.39</v>
      </c>
      <c r="E7" s="54">
        <v>1269976</v>
      </c>
    </row>
    <row r="8" spans="1:5">
      <c r="A8" s="61"/>
      <c r="B8" s="51" t="s">
        <v>118</v>
      </c>
      <c r="C8" s="52">
        <v>2010</v>
      </c>
      <c r="D8" s="53">
        <v>0</v>
      </c>
      <c r="E8" s="54">
        <v>0</v>
      </c>
    </row>
    <row r="9" spans="1:5">
      <c r="A9" s="61"/>
      <c r="B9" s="51" t="s">
        <v>128</v>
      </c>
      <c r="C9" s="52">
        <v>2010</v>
      </c>
      <c r="D9" s="53">
        <v>0</v>
      </c>
      <c r="E9" s="54">
        <v>673124</v>
      </c>
    </row>
    <row r="10" spans="1:5">
      <c r="A10" s="61"/>
      <c r="B10" s="51" t="s">
        <v>75</v>
      </c>
      <c r="C10" s="52">
        <v>2010</v>
      </c>
      <c r="D10" s="53">
        <v>89647</v>
      </c>
      <c r="E10" s="54">
        <v>55620</v>
      </c>
    </row>
    <row r="11" spans="1:5">
      <c r="A11" s="61"/>
      <c r="B11" s="51" t="s">
        <v>76</v>
      </c>
      <c r="C11" s="52">
        <v>2010</v>
      </c>
      <c r="D11" s="53">
        <v>6046935.71</v>
      </c>
      <c r="E11" s="54">
        <v>6644838</v>
      </c>
    </row>
    <row r="12" spans="1:5">
      <c r="A12" s="60"/>
      <c r="B12" s="51" t="s">
        <v>77</v>
      </c>
      <c r="C12" s="52">
        <v>2010</v>
      </c>
      <c r="D12" s="53">
        <v>1229290.53</v>
      </c>
      <c r="E12" s="54">
        <v>2120000</v>
      </c>
    </row>
    <row r="13" spans="1:5">
      <c r="A13" s="67"/>
      <c r="B13" s="68"/>
      <c r="C13" s="68"/>
      <c r="D13" s="57">
        <f>SUBTOTAL(9,D7:D12)</f>
        <v>9403206.629999999</v>
      </c>
      <c r="E13" s="57">
        <f>SUBTOTAL(9,E7:E12)</f>
        <v>10763558</v>
      </c>
    </row>
    <row r="14" spans="1:5">
      <c r="A14" s="59" t="s">
        <v>20</v>
      </c>
      <c r="B14" s="51" t="s">
        <v>78</v>
      </c>
      <c r="C14" s="52">
        <v>2010</v>
      </c>
      <c r="D14" s="53">
        <v>5249222.93</v>
      </c>
      <c r="E14" s="54">
        <v>8390320</v>
      </c>
    </row>
    <row r="15" spans="1:5">
      <c r="A15" s="61"/>
      <c r="B15" s="51" t="s">
        <v>79</v>
      </c>
      <c r="C15" s="52">
        <v>2010</v>
      </c>
      <c r="D15" s="53">
        <v>4227809.24</v>
      </c>
      <c r="E15" s="54">
        <v>6063862</v>
      </c>
    </row>
    <row r="16" spans="1:5">
      <c r="A16" s="61"/>
      <c r="B16" s="51" t="s">
        <v>80</v>
      </c>
      <c r="C16" s="52">
        <v>2010</v>
      </c>
      <c r="D16" s="53">
        <v>0</v>
      </c>
      <c r="E16" s="54">
        <v>0</v>
      </c>
    </row>
    <row r="17" spans="1:5">
      <c r="A17" s="61"/>
      <c r="B17" s="51" t="s">
        <v>81</v>
      </c>
      <c r="C17" s="52">
        <v>2010</v>
      </c>
      <c r="D17" s="53">
        <v>5671030.8099999996</v>
      </c>
      <c r="E17" s="54">
        <v>8042780</v>
      </c>
    </row>
    <row r="18" spans="1:5">
      <c r="A18" s="61"/>
      <c r="B18" s="51" t="s">
        <v>82</v>
      </c>
      <c r="C18" s="52">
        <v>2010</v>
      </c>
      <c r="D18" s="53">
        <v>20580</v>
      </c>
      <c r="E18" s="54">
        <v>23000</v>
      </c>
    </row>
    <row r="19" spans="1:5">
      <c r="A19" s="61"/>
      <c r="B19" s="51" t="s">
        <v>83</v>
      </c>
      <c r="C19" s="52">
        <v>2010</v>
      </c>
      <c r="D19" s="53">
        <v>3388862.12</v>
      </c>
      <c r="E19" s="54">
        <v>6038174</v>
      </c>
    </row>
    <row r="20" spans="1:5">
      <c r="A20" s="60"/>
      <c r="B20" s="51" t="s">
        <v>119</v>
      </c>
      <c r="C20" s="52">
        <v>2010</v>
      </c>
      <c r="D20" s="53">
        <v>10084840.359999999</v>
      </c>
      <c r="E20" s="54">
        <v>11793090</v>
      </c>
    </row>
    <row r="21" spans="1:5">
      <c r="A21" s="67"/>
      <c r="B21" s="68"/>
      <c r="C21" s="68"/>
      <c r="D21" s="57">
        <f>SUBTOTAL(9,D14:D20)</f>
        <v>28642345.460000001</v>
      </c>
      <c r="E21" s="57">
        <f>SUBTOTAL(9,E14:E20)</f>
        <v>40351226</v>
      </c>
    </row>
    <row r="22" spans="1:5">
      <c r="A22" s="50" t="s">
        <v>22</v>
      </c>
      <c r="B22" s="51" t="s">
        <v>84</v>
      </c>
      <c r="C22" s="52">
        <v>2010</v>
      </c>
      <c r="D22" s="53">
        <v>2869668.2</v>
      </c>
      <c r="E22" s="54">
        <v>4596375</v>
      </c>
    </row>
    <row r="23" spans="1:5">
      <c r="A23" s="67"/>
      <c r="B23" s="68"/>
      <c r="C23" s="68"/>
      <c r="D23" s="57">
        <f>SUBTOTAL(9,D22:D22)</f>
        <v>2869668.2</v>
      </c>
      <c r="E23" s="57">
        <f>SUBTOTAL(9,E22:E22)</f>
        <v>4596375</v>
      </c>
    </row>
    <row r="24" spans="1:5">
      <c r="A24" s="59" t="s">
        <v>18</v>
      </c>
      <c r="B24" s="51" t="s">
        <v>85</v>
      </c>
      <c r="C24" s="52">
        <v>2010</v>
      </c>
      <c r="D24" s="53">
        <v>2955005.49</v>
      </c>
      <c r="E24" s="54">
        <v>7233204</v>
      </c>
    </row>
    <row r="25" spans="1:5">
      <c r="A25" s="60"/>
      <c r="B25" s="51" t="s">
        <v>86</v>
      </c>
      <c r="C25" s="52">
        <v>2010</v>
      </c>
      <c r="D25" s="53">
        <v>1130525.46</v>
      </c>
      <c r="E25" s="54">
        <v>1372862</v>
      </c>
    </row>
    <row r="26" spans="1:5">
      <c r="A26" s="67"/>
      <c r="B26" s="68"/>
      <c r="C26" s="68"/>
      <c r="D26" s="57">
        <f>SUBTOTAL(9,D24:D25)</f>
        <v>4085530.95</v>
      </c>
      <c r="E26" s="57">
        <f>SUBTOTAL(9,E24:E25)</f>
        <v>8606066</v>
      </c>
    </row>
    <row r="27" spans="1:5">
      <c r="A27" s="59" t="s">
        <v>21</v>
      </c>
      <c r="B27" s="51" t="s">
        <v>120</v>
      </c>
      <c r="C27" s="52">
        <v>2010</v>
      </c>
      <c r="D27" s="53">
        <v>2196865.15</v>
      </c>
      <c r="E27" s="54">
        <v>0</v>
      </c>
    </row>
    <row r="28" spans="1:5">
      <c r="A28" s="61"/>
      <c r="B28" s="51" t="s">
        <v>87</v>
      </c>
      <c r="C28" s="52">
        <v>2010</v>
      </c>
      <c r="D28" s="53">
        <v>13680.14</v>
      </c>
      <c r="E28" s="54">
        <v>0</v>
      </c>
    </row>
    <row r="29" spans="1:5">
      <c r="A29" s="60"/>
      <c r="B29" s="51" t="s">
        <v>121</v>
      </c>
      <c r="C29" s="52">
        <v>2010</v>
      </c>
      <c r="D29" s="53">
        <v>16980426.52</v>
      </c>
      <c r="E29" s="54">
        <v>19563765</v>
      </c>
    </row>
    <row r="30" spans="1:5">
      <c r="A30" s="67"/>
      <c r="B30" s="68"/>
      <c r="C30" s="68"/>
      <c r="D30" s="57">
        <f>SUBTOTAL(9,D27:D29)</f>
        <v>19190971.809999999</v>
      </c>
      <c r="E30" s="57">
        <f>SUBTOTAL(9,E27:E29)</f>
        <v>19563765</v>
      </c>
    </row>
    <row r="31" spans="1:5">
      <c r="A31" s="59" t="s">
        <v>19</v>
      </c>
      <c r="B31" s="51" t="s">
        <v>88</v>
      </c>
      <c r="C31" s="52">
        <v>2010</v>
      </c>
      <c r="D31" s="53">
        <v>7422.12</v>
      </c>
      <c r="E31" s="54">
        <v>73336</v>
      </c>
    </row>
    <row r="32" spans="1:5">
      <c r="A32" s="61"/>
      <c r="B32" s="51" t="s">
        <v>89</v>
      </c>
      <c r="C32" s="52">
        <v>2010</v>
      </c>
      <c r="D32" s="53">
        <v>900291.37</v>
      </c>
      <c r="E32" s="54">
        <v>865419</v>
      </c>
    </row>
    <row r="33" spans="1:5">
      <c r="A33" s="61"/>
      <c r="B33" s="51" t="s">
        <v>122</v>
      </c>
      <c r="C33" s="52">
        <v>2010</v>
      </c>
      <c r="D33" s="53">
        <v>178082.48</v>
      </c>
      <c r="E33" s="54">
        <v>0</v>
      </c>
    </row>
    <row r="34" spans="1:5">
      <c r="A34" s="61"/>
      <c r="B34" s="51" t="s">
        <v>90</v>
      </c>
      <c r="C34" s="52">
        <v>2010</v>
      </c>
      <c r="D34" s="53">
        <v>0</v>
      </c>
      <c r="E34" s="54">
        <v>0</v>
      </c>
    </row>
    <row r="35" spans="1:5">
      <c r="A35" s="60"/>
      <c r="B35" s="51" t="s">
        <v>123</v>
      </c>
      <c r="C35" s="52">
        <v>2010</v>
      </c>
      <c r="D35" s="53">
        <v>41541.72</v>
      </c>
      <c r="E35" s="54">
        <v>41606</v>
      </c>
    </row>
    <row r="36" spans="1:5">
      <c r="A36" s="67"/>
      <c r="B36" s="68"/>
      <c r="C36" s="68"/>
      <c r="D36" s="57">
        <f>SUBTOTAL(9,D31:D35)</f>
        <v>1127337.69</v>
      </c>
      <c r="E36" s="57">
        <f>SUBTOTAL(9,E31:E35)</f>
        <v>980361</v>
      </c>
    </row>
    <row r="37" spans="1:5">
      <c r="A37" s="59" t="s">
        <v>6</v>
      </c>
      <c r="B37" s="51" t="s">
        <v>124</v>
      </c>
      <c r="C37" s="52">
        <v>2010</v>
      </c>
      <c r="D37" s="53">
        <v>0</v>
      </c>
      <c r="E37" s="54">
        <v>0</v>
      </c>
    </row>
    <row r="38" spans="1:5">
      <c r="A38" s="61"/>
      <c r="B38" s="51" t="s">
        <v>125</v>
      </c>
      <c r="C38" s="52">
        <v>2010</v>
      </c>
      <c r="D38" s="53">
        <v>0</v>
      </c>
      <c r="E38" s="54">
        <v>0</v>
      </c>
    </row>
    <row r="39" spans="1:5">
      <c r="A39" s="61"/>
      <c r="B39" s="51" t="s">
        <v>126</v>
      </c>
      <c r="C39" s="52">
        <v>2010</v>
      </c>
      <c r="D39" s="53">
        <v>0</v>
      </c>
      <c r="E39" s="54">
        <v>0</v>
      </c>
    </row>
    <row r="40" spans="1:5">
      <c r="A40" s="61"/>
      <c r="B40" s="51" t="s">
        <v>129</v>
      </c>
      <c r="C40" s="52">
        <v>2010</v>
      </c>
      <c r="D40" s="53">
        <v>0</v>
      </c>
      <c r="E40" s="54">
        <v>0</v>
      </c>
    </row>
    <row r="41" spans="1:5">
      <c r="A41" s="61"/>
      <c r="B41" s="51" t="s">
        <v>91</v>
      </c>
      <c r="C41" s="52">
        <v>2010</v>
      </c>
      <c r="D41" s="53">
        <v>9184883.9700000007</v>
      </c>
      <c r="E41" s="54">
        <v>9210036</v>
      </c>
    </row>
    <row r="42" spans="1:5">
      <c r="A42" s="60"/>
      <c r="B42" s="51" t="s">
        <v>92</v>
      </c>
      <c r="C42" s="52">
        <v>2010</v>
      </c>
      <c r="D42" s="53">
        <v>72698.22</v>
      </c>
      <c r="E42" s="54">
        <v>55000</v>
      </c>
    </row>
    <row r="43" spans="1:5">
      <c r="A43" s="67"/>
      <c r="B43" s="68"/>
      <c r="C43" s="68"/>
      <c r="D43" s="69">
        <f>SUBTOTAL(9,D37:D42)</f>
        <v>9257582.1900000013</v>
      </c>
      <c r="E43" s="69">
        <f>SUBTOTAL(9,E37:E42)</f>
        <v>9265036</v>
      </c>
    </row>
    <row r="44" spans="1:5">
      <c r="A44" s="70"/>
      <c r="B44" s="71"/>
      <c r="C44" s="71"/>
      <c r="D44" s="64">
        <f>SUBTOTAL(9,D2:D43)</f>
        <v>248769096.46000001</v>
      </c>
      <c r="E44" s="64">
        <f>SUBTOTAL(9,E2:E43)</f>
        <v>270401747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E1" workbookViewId="0">
      <selection activeCell="C23" sqref="C23"/>
    </sheetView>
  </sheetViews>
  <sheetFormatPr defaultRowHeight="15.75"/>
  <cols>
    <col min="1" max="1" width="7.25" bestFit="1" customWidth="1"/>
    <col min="2" max="2" width="23.375" bestFit="1" customWidth="1"/>
    <col min="3" max="5" width="13.5" bestFit="1" customWidth="1"/>
  </cols>
  <sheetData>
    <row r="1" spans="1:5" ht="38.25">
      <c r="A1" s="46" t="s">
        <v>96</v>
      </c>
      <c r="B1" s="46" t="s">
        <v>55</v>
      </c>
      <c r="C1" s="47" t="s">
        <v>97</v>
      </c>
      <c r="D1" s="47" t="s">
        <v>98</v>
      </c>
      <c r="E1" s="48" t="s">
        <v>99</v>
      </c>
    </row>
    <row r="2" spans="1:5">
      <c r="A2" s="72">
        <v>80</v>
      </c>
      <c r="B2" s="59" t="s">
        <v>11</v>
      </c>
      <c r="C2" s="53">
        <v>346531</v>
      </c>
      <c r="D2" s="53">
        <v>349261</v>
      </c>
      <c r="E2" s="54">
        <v>202151.94</v>
      </c>
    </row>
    <row r="3" spans="1:5">
      <c r="A3" s="72">
        <v>76</v>
      </c>
      <c r="B3" s="59" t="s">
        <v>8</v>
      </c>
      <c r="C3" s="53">
        <v>1078918</v>
      </c>
      <c r="D3" s="53">
        <v>1225060</v>
      </c>
      <c r="E3" s="54">
        <v>1981304.88</v>
      </c>
    </row>
    <row r="4" spans="1:5">
      <c r="A4" s="72">
        <v>85</v>
      </c>
      <c r="B4" s="59" t="s">
        <v>100</v>
      </c>
      <c r="C4" s="53">
        <v>43665123</v>
      </c>
      <c r="D4" s="53">
        <v>43956284</v>
      </c>
      <c r="E4" s="54">
        <v>35056726.109999999</v>
      </c>
    </row>
    <row r="5" spans="1:5">
      <c r="A5" s="72">
        <v>60</v>
      </c>
      <c r="B5" s="59" t="s">
        <v>9</v>
      </c>
      <c r="C5" s="53">
        <v>3263326</v>
      </c>
      <c r="D5" s="53">
        <v>3313660</v>
      </c>
      <c r="E5" s="54">
        <v>2325326.02</v>
      </c>
    </row>
    <row r="6" spans="1:5">
      <c r="A6" s="72">
        <v>48</v>
      </c>
      <c r="B6" s="59" t="s">
        <v>47</v>
      </c>
      <c r="C6" s="53">
        <v>10604579</v>
      </c>
      <c r="D6" s="53">
        <v>10781418</v>
      </c>
      <c r="E6" s="54">
        <v>7648186.1399999997</v>
      </c>
    </row>
    <row r="7" spans="1:5">
      <c r="A7" s="72">
        <v>41</v>
      </c>
      <c r="B7" s="59" t="s">
        <v>46</v>
      </c>
      <c r="C7" s="53">
        <v>40714461</v>
      </c>
      <c r="D7" s="53">
        <v>48864063</v>
      </c>
      <c r="E7" s="54">
        <v>26634545.899999999</v>
      </c>
    </row>
    <row r="8" spans="1:5">
      <c r="A8" s="72">
        <v>72</v>
      </c>
      <c r="B8" s="59" t="s">
        <v>10</v>
      </c>
      <c r="C8" s="53">
        <v>17404071</v>
      </c>
      <c r="D8" s="53">
        <v>16640866</v>
      </c>
      <c r="E8" s="54">
        <v>13766280.4</v>
      </c>
    </row>
    <row r="9" spans="1:5">
      <c r="A9" s="72">
        <v>44</v>
      </c>
      <c r="B9" s="59" t="s">
        <v>49</v>
      </c>
      <c r="C9" s="53">
        <v>17413314</v>
      </c>
      <c r="D9" s="53">
        <v>17648242</v>
      </c>
      <c r="E9" s="54">
        <v>11991182.59</v>
      </c>
    </row>
    <row r="10" spans="1:5">
      <c r="A10" s="72">
        <v>52</v>
      </c>
      <c r="B10" s="59" t="s">
        <v>50</v>
      </c>
      <c r="C10" s="53">
        <v>10775827</v>
      </c>
      <c r="D10" s="53">
        <v>10991562</v>
      </c>
      <c r="E10" s="54">
        <v>7962812.9000000004</v>
      </c>
    </row>
    <row r="11" spans="1:5">
      <c r="A11" s="72">
        <v>56</v>
      </c>
      <c r="B11" s="59" t="s">
        <v>7</v>
      </c>
      <c r="C11" s="53">
        <v>13414559</v>
      </c>
      <c r="D11" s="53">
        <v>28885628</v>
      </c>
      <c r="E11" s="54">
        <v>12073599.41</v>
      </c>
    </row>
    <row r="12" spans="1:5">
      <c r="A12" s="72">
        <v>64</v>
      </c>
      <c r="B12" s="59" t="s">
        <v>48</v>
      </c>
      <c r="C12" s="53">
        <v>65544767</v>
      </c>
      <c r="D12" s="53">
        <v>66137581</v>
      </c>
      <c r="E12" s="54">
        <v>48274052.920000002</v>
      </c>
    </row>
    <row r="13" spans="1:5">
      <c r="A13" s="72">
        <v>68</v>
      </c>
      <c r="B13" s="59" t="s">
        <v>101</v>
      </c>
      <c r="C13" s="53">
        <v>19347332</v>
      </c>
      <c r="D13" s="53">
        <v>35033475</v>
      </c>
      <c r="E13" s="54">
        <v>45912993.799999997</v>
      </c>
    </row>
    <row r="14" spans="1:5">
      <c r="A14" s="73">
        <v>88</v>
      </c>
      <c r="B14" s="50" t="s">
        <v>12</v>
      </c>
      <c r="C14" s="53">
        <v>26609348</v>
      </c>
      <c r="D14" s="53">
        <v>27907073</v>
      </c>
      <c r="E14" s="54">
        <v>26147759.859999999</v>
      </c>
    </row>
    <row r="15" spans="1:5">
      <c r="A15" s="74"/>
      <c r="B15" s="75"/>
      <c r="C15" s="76">
        <f>SUBTOTAL(9,C2:C14)</f>
        <v>270182156</v>
      </c>
      <c r="D15" s="76">
        <f>SUBTOTAL(9,D2:D14)</f>
        <v>311734173</v>
      </c>
      <c r="E15" s="76">
        <f>SUBTOTAL(9,E2:E14)</f>
        <v>239976922.87000006</v>
      </c>
    </row>
    <row r="16" spans="1:5">
      <c r="A16" s="75"/>
      <c r="B16" s="75"/>
      <c r="C16" s="75"/>
      <c r="D16" s="75"/>
      <c r="E16" s="7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4"/>
  <sheetViews>
    <sheetView zoomScaleNormal="100" workbookViewId="0">
      <selection activeCell="H29" sqref="H29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8.375" style="2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8.125" style="2" customWidth="1"/>
    <col min="12" max="12" width="13.75" style="2" customWidth="1"/>
    <col min="13" max="13" width="11.375" style="2" customWidth="1"/>
    <col min="14" max="14" width="14" style="2" bestFit="1" customWidth="1"/>
    <col min="15" max="15" width="13.125" style="2" bestFit="1" customWidth="1"/>
    <col min="16" max="16" width="10.25" style="2" customWidth="1"/>
    <col min="17" max="17" width="11.5" style="2" customWidth="1"/>
    <col min="18" max="18" width="11.875" style="2" customWidth="1"/>
    <col min="19" max="19" width="13.25" style="2" bestFit="1" customWidth="1"/>
    <col min="20" max="20" width="12.125" style="2" customWidth="1"/>
    <col min="21" max="21" width="12.5" style="2" bestFit="1" customWidth="1"/>
    <col min="22" max="22" width="13" style="2" customWidth="1"/>
    <col min="23" max="23" width="12.5" style="2" bestFit="1" customWidth="1"/>
    <col min="24" max="24" width="11.125" style="2" bestFit="1" customWidth="1"/>
    <col min="25" max="25" width="11.25" style="2" customWidth="1"/>
    <col min="26" max="26" width="12.625" style="2" customWidth="1"/>
    <col min="27" max="27" width="11.125" style="2" bestFit="1" customWidth="1"/>
    <col min="28" max="28" width="10.75" style="2" customWidth="1"/>
    <col min="29" max="29" width="12.5" style="2" bestFit="1" customWidth="1"/>
    <col min="30" max="30" width="11.5" style="2" customWidth="1"/>
    <col min="31" max="31" width="11.375" style="2" customWidth="1"/>
    <col min="32" max="32" width="11.75" style="2" customWidth="1"/>
    <col min="33" max="33" width="13" style="2" customWidth="1"/>
    <col min="34" max="34" width="9" style="2"/>
    <col min="35" max="35" width="11.125" style="2" customWidth="1"/>
    <col min="36" max="36" width="9" style="2"/>
    <col min="37" max="37" width="12.875" style="2" customWidth="1"/>
    <col min="38" max="16384" width="9" style="2"/>
  </cols>
  <sheetData>
    <row r="1" spans="1:32" ht="15.95" customHeight="1">
      <c r="E1" s="3"/>
      <c r="F1" s="99" t="s">
        <v>23</v>
      </c>
    </row>
    <row r="2" spans="1:32" ht="15.95" customHeight="1">
      <c r="E2" s="3"/>
      <c r="F2" s="99" t="s">
        <v>52</v>
      </c>
    </row>
    <row r="3" spans="1:32" ht="15.95" customHeight="1">
      <c r="B3" s="127" t="s">
        <v>41</v>
      </c>
      <c r="C3" s="127"/>
      <c r="D3" s="127"/>
      <c r="E3" s="3"/>
      <c r="F3" s="99" t="s">
        <v>53</v>
      </c>
    </row>
    <row r="4" spans="1:32" ht="15.95" customHeight="1">
      <c r="E4" s="3"/>
      <c r="F4" s="99" t="s">
        <v>54</v>
      </c>
    </row>
    <row r="5" spans="1:32" ht="15.95" customHeight="1">
      <c r="E5" s="3"/>
      <c r="F5" s="99" t="s">
        <v>24</v>
      </c>
    </row>
    <row r="6" spans="1:32" ht="16.5">
      <c r="A6" s="4"/>
      <c r="B6" s="4"/>
      <c r="C6" s="4"/>
      <c r="D6" s="5"/>
      <c r="E6" s="5"/>
      <c r="F6" s="100"/>
    </row>
    <row r="7" spans="1:32" ht="15.75">
      <c r="D7" s="3"/>
      <c r="E7" s="3"/>
    </row>
    <row r="8" spans="1:32" ht="19.5" customHeight="1">
      <c r="A8" s="102" t="s">
        <v>244</v>
      </c>
      <c r="B8" s="103" t="s">
        <v>37</v>
      </c>
      <c r="C8" s="103"/>
      <c r="D8" s="103"/>
      <c r="E8" s="103"/>
      <c r="F8" s="103"/>
    </row>
    <row r="9" spans="1:32" ht="19.5" customHeight="1">
      <c r="A9" s="102" t="s">
        <v>245</v>
      </c>
      <c r="B9" s="103" t="s">
        <v>93</v>
      </c>
      <c r="C9" s="103"/>
      <c r="D9" s="103"/>
      <c r="E9" s="103"/>
      <c r="F9" s="103"/>
    </row>
    <row r="10" spans="1:32" ht="19.5" customHeight="1">
      <c r="A10" s="102" t="s">
        <v>246</v>
      </c>
      <c r="B10" s="104">
        <v>41470</v>
      </c>
      <c r="C10" s="103"/>
      <c r="D10" s="103"/>
      <c r="E10" s="103"/>
      <c r="F10" s="103"/>
    </row>
    <row r="11" spans="1:32" ht="19.5" customHeight="1">
      <c r="A11" s="102" t="s">
        <v>247</v>
      </c>
      <c r="B11" s="103" t="s">
        <v>256</v>
      </c>
      <c r="C11" s="103"/>
      <c r="D11" s="103"/>
      <c r="E11" s="103"/>
      <c r="F11" s="103"/>
    </row>
    <row r="12" spans="1:32" ht="15.75" customHeight="1">
      <c r="A12" s="102"/>
      <c r="B12" s="103"/>
      <c r="C12" s="103"/>
      <c r="D12" s="103"/>
      <c r="E12" s="103"/>
      <c r="F12" s="103"/>
    </row>
    <row r="13" spans="1:32" ht="5.25" customHeight="1">
      <c r="A13" s="128"/>
      <c r="B13" s="128"/>
      <c r="C13" s="128"/>
      <c r="D13" s="128"/>
      <c r="E13" s="128"/>
      <c r="F13" s="128"/>
    </row>
    <row r="14" spans="1:32" ht="21" customHeight="1">
      <c r="A14" s="125" t="s">
        <v>172</v>
      </c>
      <c r="B14" s="125"/>
      <c r="C14" s="125"/>
      <c r="D14" s="125"/>
      <c r="E14" s="125"/>
      <c r="F14" s="125"/>
    </row>
    <row r="15" spans="1:32" ht="8.25" customHeight="1">
      <c r="A15" s="103"/>
      <c r="B15" s="103"/>
      <c r="C15" s="103"/>
      <c r="D15" s="103"/>
      <c r="E15" s="103"/>
      <c r="F15" s="103"/>
      <c r="N15" s="34"/>
      <c r="O15" s="34"/>
      <c r="P15" s="34"/>
      <c r="Q15" s="34"/>
    </row>
    <row r="16" spans="1:32" ht="39">
      <c r="A16" s="129"/>
      <c r="B16" s="129"/>
      <c r="C16" s="105" t="s">
        <v>238</v>
      </c>
      <c r="D16" s="105" t="s">
        <v>257</v>
      </c>
      <c r="E16" s="105" t="s">
        <v>25</v>
      </c>
      <c r="F16" s="105" t="s">
        <v>258</v>
      </c>
      <c r="G16" s="10">
        <v>0.75</v>
      </c>
      <c r="H16" s="2" t="s">
        <v>42</v>
      </c>
      <c r="I16" s="10">
        <v>0.75</v>
      </c>
      <c r="K16" s="9" t="s">
        <v>238</v>
      </c>
      <c r="L16" s="9" t="s">
        <v>259</v>
      </c>
      <c r="M16" s="9">
        <v>2013</v>
      </c>
      <c r="N16" s="9" t="s">
        <v>196</v>
      </c>
      <c r="O16" s="9" t="s">
        <v>218</v>
      </c>
      <c r="P16" s="9">
        <v>2012</v>
      </c>
      <c r="Q16" s="9" t="s">
        <v>151</v>
      </c>
      <c r="R16" s="9" t="s">
        <v>219</v>
      </c>
      <c r="S16" s="9" t="s">
        <v>192</v>
      </c>
      <c r="T16" s="9">
        <v>2011</v>
      </c>
      <c r="U16" s="9" t="s">
        <v>94</v>
      </c>
      <c r="V16" s="9" t="s">
        <v>220</v>
      </c>
      <c r="W16" s="9" t="s">
        <v>193</v>
      </c>
      <c r="X16" s="9">
        <v>2010</v>
      </c>
      <c r="Y16" s="9" t="s">
        <v>1</v>
      </c>
      <c r="Z16" s="9" t="s">
        <v>140</v>
      </c>
      <c r="AA16" s="9" t="s">
        <v>106</v>
      </c>
      <c r="AB16" s="9">
        <v>2009</v>
      </c>
      <c r="AC16" s="9"/>
      <c r="AD16" s="9"/>
      <c r="AE16" s="9"/>
      <c r="AF16" s="9"/>
    </row>
    <row r="17" spans="1:32" ht="15.75" customHeight="1">
      <c r="A17" s="123" t="s">
        <v>26</v>
      </c>
      <c r="B17" s="123"/>
      <c r="C17" s="112">
        <f>K17</f>
        <v>178536569</v>
      </c>
      <c r="D17" s="112">
        <f>L17</f>
        <v>179323489</v>
      </c>
      <c r="E17" s="106">
        <f t="shared" ref="E17:E24" si="0">(D17/C17)</f>
        <v>1.0044076124258892</v>
      </c>
      <c r="F17" s="115">
        <f t="shared" ref="F17:F23" si="1">D17-G17</f>
        <v>45421062.25</v>
      </c>
      <c r="G17" s="14">
        <f>C17*0.75</f>
        <v>133902426.75</v>
      </c>
      <c r="H17" s="15">
        <v>0</v>
      </c>
      <c r="I17" s="10">
        <v>0.75</v>
      </c>
      <c r="J17" s="21" t="str">
        <f>A17</f>
        <v>Current / Delinquent Taxes</v>
      </c>
      <c r="K17" s="82">
        <v>178536569</v>
      </c>
      <c r="L17" s="82">
        <v>179323489</v>
      </c>
      <c r="M17" s="41">
        <f>L17/K17</f>
        <v>1.0044076124258892</v>
      </c>
      <c r="N17" s="82">
        <v>172920521</v>
      </c>
      <c r="O17" s="82">
        <v>174211368</v>
      </c>
      <c r="P17" s="41">
        <v>1.0074649728819636</v>
      </c>
      <c r="Q17" s="82">
        <v>170741229</v>
      </c>
      <c r="R17" s="82">
        <v>170012101</v>
      </c>
      <c r="S17" s="82"/>
      <c r="T17" s="41">
        <v>0.99192059995722792</v>
      </c>
      <c r="U17" s="11">
        <v>175930506</v>
      </c>
      <c r="V17" s="11">
        <v>173979625.33000001</v>
      </c>
      <c r="W17" s="11"/>
      <c r="X17" s="12">
        <v>0.99143609091920493</v>
      </c>
      <c r="Y17" s="11">
        <v>173590951</v>
      </c>
      <c r="Z17" s="11">
        <v>172769380.41</v>
      </c>
      <c r="AA17" s="11"/>
      <c r="AB17" s="12">
        <v>0.98807071423905934</v>
      </c>
      <c r="AC17" s="11"/>
      <c r="AD17" s="11"/>
      <c r="AE17" s="11"/>
      <c r="AF17" s="12"/>
    </row>
    <row r="18" spans="1:32" ht="15.75" customHeight="1">
      <c r="A18" s="123" t="s">
        <v>95</v>
      </c>
      <c r="B18" s="123"/>
      <c r="C18" s="107">
        <f>K18</f>
        <v>279000</v>
      </c>
      <c r="D18" s="107">
        <f>L18</f>
        <v>289539</v>
      </c>
      <c r="E18" s="106">
        <f>(D18/C18)</f>
        <v>1.0377741935483871</v>
      </c>
      <c r="F18" s="108">
        <f>D18-G18</f>
        <v>80289</v>
      </c>
      <c r="G18" s="14">
        <f t="shared" ref="G18:G24" si="2">C18*0.75</f>
        <v>209250</v>
      </c>
      <c r="H18" s="15">
        <v>0</v>
      </c>
      <c r="I18" s="10">
        <v>0.75</v>
      </c>
      <c r="J18" s="21" t="str">
        <f t="shared" ref="J18:J23" si="3">A18</f>
        <v>License / Permits</v>
      </c>
      <c r="K18" s="83">
        <v>279000</v>
      </c>
      <c r="L18" s="83">
        <v>289539</v>
      </c>
      <c r="M18" s="41">
        <f t="shared" ref="M18:M23" si="4">L18/K18</f>
        <v>1.0377741935483871</v>
      </c>
      <c r="N18" s="83">
        <v>280300</v>
      </c>
      <c r="O18" s="83">
        <v>232076</v>
      </c>
      <c r="P18" s="41">
        <v>0.82795576168391005</v>
      </c>
      <c r="Q18" s="83">
        <v>246000</v>
      </c>
      <c r="R18" s="83">
        <v>260566</v>
      </c>
      <c r="S18" s="83"/>
      <c r="T18" s="41">
        <v>0.82592722904245242</v>
      </c>
      <c r="U18" s="16">
        <v>335854</v>
      </c>
      <c r="V18" s="28">
        <v>212828.2</v>
      </c>
      <c r="W18" s="28"/>
      <c r="X18" s="12">
        <v>0.83243321469081244</v>
      </c>
      <c r="Y18" s="28">
        <v>650650</v>
      </c>
      <c r="Z18" s="28">
        <v>226602.73999999996</v>
      </c>
      <c r="AA18" s="28"/>
      <c r="AB18" s="12">
        <v>0.79942505593614599</v>
      </c>
      <c r="AC18" s="28"/>
      <c r="AD18" s="28"/>
      <c r="AE18" s="28"/>
      <c r="AF18" s="12"/>
    </row>
    <row r="19" spans="1:32" ht="15.75" customHeight="1">
      <c r="A19" s="123" t="s">
        <v>51</v>
      </c>
      <c r="B19" s="123"/>
      <c r="C19" s="107">
        <f t="shared" ref="C19:D23" si="5">K19</f>
        <v>8786551</v>
      </c>
      <c r="D19" s="107">
        <f t="shared" si="5"/>
        <v>12102884</v>
      </c>
      <c r="E19" s="106">
        <f t="shared" si="0"/>
        <v>1.3774328516388286</v>
      </c>
      <c r="F19" s="108">
        <f t="shared" si="1"/>
        <v>5512970.75</v>
      </c>
      <c r="G19" s="14">
        <f t="shared" si="2"/>
        <v>6589913.25</v>
      </c>
      <c r="H19" s="27">
        <v>0</v>
      </c>
      <c r="I19" s="10">
        <v>0.75</v>
      </c>
      <c r="J19" s="21" t="str">
        <f t="shared" si="3"/>
        <v>Intergovernmental Revenue</v>
      </c>
      <c r="K19" s="83">
        <v>8786551</v>
      </c>
      <c r="L19" s="83">
        <v>12102884</v>
      </c>
      <c r="M19" s="41">
        <f t="shared" si="4"/>
        <v>1.3774328516388286</v>
      </c>
      <c r="N19" s="83">
        <v>9897851</v>
      </c>
      <c r="O19" s="83">
        <v>13613187</v>
      </c>
      <c r="P19" s="41">
        <v>1.3753679460319215</v>
      </c>
      <c r="Q19" s="83">
        <v>10310296</v>
      </c>
      <c r="R19" s="83">
        <v>15205124</v>
      </c>
      <c r="S19" s="83"/>
      <c r="T19" s="41">
        <v>0.7261304990803934</v>
      </c>
      <c r="U19" s="16">
        <v>10763558</v>
      </c>
      <c r="V19" s="28">
        <v>9403206.629999999</v>
      </c>
      <c r="W19" s="28"/>
      <c r="X19" s="12">
        <v>0.53449476746066449</v>
      </c>
      <c r="Y19" s="28">
        <v>9723482</v>
      </c>
      <c r="Z19" s="28">
        <v>11878328.279999999</v>
      </c>
      <c r="AA19" s="28"/>
      <c r="AB19" s="12">
        <v>0.65193959182069483</v>
      </c>
      <c r="AC19" s="28"/>
      <c r="AD19" s="28"/>
      <c r="AE19" s="28"/>
      <c r="AF19" s="12"/>
    </row>
    <row r="20" spans="1:32" ht="15.75" customHeight="1">
      <c r="A20" s="123" t="s">
        <v>2</v>
      </c>
      <c r="B20" s="123"/>
      <c r="C20" s="107">
        <f t="shared" si="5"/>
        <v>44239275</v>
      </c>
      <c r="D20" s="107">
        <f t="shared" si="5"/>
        <v>29489426</v>
      </c>
      <c r="E20" s="106">
        <f t="shared" si="0"/>
        <v>0.66658926937658902</v>
      </c>
      <c r="F20" s="108">
        <f t="shared" si="1"/>
        <v>-3690030.25</v>
      </c>
      <c r="G20" s="14">
        <f t="shared" si="2"/>
        <v>33179456.25</v>
      </c>
      <c r="H20" s="27">
        <f t="shared" ref="H20:H22" si="6">C20-D20</f>
        <v>14749849</v>
      </c>
      <c r="I20" s="10">
        <v>0.75</v>
      </c>
      <c r="J20" s="21" t="str">
        <f t="shared" si="3"/>
        <v>Fees/Charges for Services</v>
      </c>
      <c r="K20" s="83">
        <v>44239275</v>
      </c>
      <c r="L20" s="83">
        <v>29489426</v>
      </c>
      <c r="M20" s="41">
        <f t="shared" si="4"/>
        <v>0.66658926937658902</v>
      </c>
      <c r="N20" s="83">
        <v>39758436</v>
      </c>
      <c r="O20" s="83">
        <v>32026556</v>
      </c>
      <c r="P20" s="41">
        <v>0.80552856757242663</v>
      </c>
      <c r="Q20" s="83">
        <v>38925096</v>
      </c>
      <c r="R20" s="83">
        <v>29392645</v>
      </c>
      <c r="S20" s="83"/>
      <c r="T20" s="41">
        <v>0.75423697281296098</v>
      </c>
      <c r="U20" s="16">
        <v>40351226</v>
      </c>
      <c r="V20" s="28">
        <v>28642345.460000001</v>
      </c>
      <c r="W20" s="28"/>
      <c r="X20" s="12">
        <v>0.75913308111364508</v>
      </c>
      <c r="Y20" s="28">
        <v>38656872</v>
      </c>
      <c r="Z20" s="28">
        <v>27411601.84</v>
      </c>
      <c r="AA20" s="28"/>
      <c r="AB20" s="12">
        <v>0.70603104953920837</v>
      </c>
      <c r="AC20" s="28"/>
      <c r="AD20" s="28"/>
      <c r="AE20" s="28"/>
      <c r="AF20" s="12"/>
    </row>
    <row r="21" spans="1:32" ht="15.75" customHeight="1">
      <c r="A21" s="123" t="s">
        <v>4</v>
      </c>
      <c r="B21" s="123"/>
      <c r="C21" s="107">
        <f t="shared" si="5"/>
        <v>3669367</v>
      </c>
      <c r="D21" s="107">
        <f t="shared" si="5"/>
        <v>3108337</v>
      </c>
      <c r="E21" s="106">
        <f t="shared" si="0"/>
        <v>0.8471044188275525</v>
      </c>
      <c r="F21" s="108">
        <f t="shared" si="1"/>
        <v>356311.75</v>
      </c>
      <c r="G21" s="14">
        <f t="shared" si="2"/>
        <v>2752025.25</v>
      </c>
      <c r="H21" s="27">
        <f t="shared" si="6"/>
        <v>561030</v>
      </c>
      <c r="I21" s="10">
        <v>0.75</v>
      </c>
      <c r="J21" s="21" t="str">
        <f t="shared" si="3"/>
        <v>Fines</v>
      </c>
      <c r="K21" s="83">
        <v>3669367</v>
      </c>
      <c r="L21" s="83">
        <v>3108337</v>
      </c>
      <c r="M21" s="41">
        <f t="shared" si="4"/>
        <v>0.8471044188275525</v>
      </c>
      <c r="N21" s="83">
        <v>3622500</v>
      </c>
      <c r="O21" s="83">
        <v>2944990</v>
      </c>
      <c r="P21" s="41">
        <v>0.81297170462387858</v>
      </c>
      <c r="Q21" s="83">
        <v>3814000</v>
      </c>
      <c r="R21" s="83">
        <v>2674351</v>
      </c>
      <c r="S21" s="83"/>
      <c r="T21" s="41">
        <v>0.70160805615275945</v>
      </c>
      <c r="U21" s="16">
        <v>4596375</v>
      </c>
      <c r="V21" s="28">
        <v>2869668.2</v>
      </c>
      <c r="W21" s="28"/>
      <c r="X21" s="12">
        <v>0.74601284122335298</v>
      </c>
      <c r="Y21" s="28">
        <v>4675500</v>
      </c>
      <c r="Z21" s="28">
        <v>3329381.45</v>
      </c>
      <c r="AA21" s="28"/>
      <c r="AB21" s="12">
        <v>0.74249294946675537</v>
      </c>
      <c r="AC21" s="28"/>
      <c r="AD21" s="28"/>
      <c r="AE21" s="28"/>
      <c r="AF21" s="12"/>
    </row>
    <row r="22" spans="1:32" ht="15.75" customHeight="1">
      <c r="A22" s="123" t="s">
        <v>3</v>
      </c>
      <c r="B22" s="123"/>
      <c r="C22" s="107">
        <f t="shared" si="5"/>
        <v>2994718</v>
      </c>
      <c r="D22" s="107">
        <f t="shared" si="5"/>
        <v>1310876</v>
      </c>
      <c r="E22" s="106">
        <f t="shared" si="0"/>
        <v>0.43772936216364944</v>
      </c>
      <c r="F22" s="108">
        <f t="shared" si="1"/>
        <v>-935162.5</v>
      </c>
      <c r="G22" s="14">
        <f t="shared" si="2"/>
        <v>2246038.5</v>
      </c>
      <c r="H22" s="27">
        <f t="shared" si="6"/>
        <v>1683842</v>
      </c>
      <c r="I22" s="10">
        <v>0.75</v>
      </c>
      <c r="J22" s="21" t="str">
        <f t="shared" si="3"/>
        <v>Investment Revenue</v>
      </c>
      <c r="K22" s="83">
        <v>2994718</v>
      </c>
      <c r="L22" s="83">
        <v>1310876</v>
      </c>
      <c r="M22" s="41">
        <f t="shared" si="4"/>
        <v>0.43772936216364944</v>
      </c>
      <c r="N22" s="83">
        <v>3963042</v>
      </c>
      <c r="O22" s="83">
        <v>2118391</v>
      </c>
      <c r="P22" s="41">
        <v>0.53453660092423949</v>
      </c>
      <c r="Q22" s="83">
        <v>3023647</v>
      </c>
      <c r="R22" s="83">
        <v>2829690</v>
      </c>
      <c r="S22" s="83"/>
      <c r="T22" s="41">
        <v>0.66109124245502449</v>
      </c>
      <c r="U22" s="16">
        <v>6218768</v>
      </c>
      <c r="V22" s="28">
        <v>4085530.95</v>
      </c>
      <c r="W22" s="28"/>
      <c r="X22" s="12">
        <v>0.93620944488505375</v>
      </c>
      <c r="Y22" s="28">
        <v>9130674</v>
      </c>
      <c r="Z22" s="28">
        <v>6553315.0100000007</v>
      </c>
      <c r="AA22" s="28"/>
      <c r="AB22" s="12">
        <v>0.98605817328150058</v>
      </c>
      <c r="AC22" s="28"/>
      <c r="AD22" s="28"/>
      <c r="AE22" s="28"/>
      <c r="AF22" s="12"/>
    </row>
    <row r="23" spans="1:32" ht="15.75" customHeight="1" thickBot="1">
      <c r="A23" s="123" t="s">
        <v>251</v>
      </c>
      <c r="B23" s="123"/>
      <c r="C23" s="107">
        <f t="shared" si="5"/>
        <v>22230295</v>
      </c>
      <c r="D23" s="107">
        <f t="shared" si="5"/>
        <v>36045733</v>
      </c>
      <c r="E23" s="106">
        <f t="shared" si="0"/>
        <v>1.6214689458686895</v>
      </c>
      <c r="F23" s="108">
        <f t="shared" si="1"/>
        <v>19373011.75</v>
      </c>
      <c r="G23" s="14">
        <f t="shared" si="2"/>
        <v>16672721.25</v>
      </c>
      <c r="H23" s="27">
        <v>0</v>
      </c>
      <c r="I23" s="10">
        <v>0.75</v>
      </c>
      <c r="J23" s="21" t="str">
        <f t="shared" si="3"/>
        <v>Misc., Transfers, Ins.</v>
      </c>
      <c r="K23" s="84">
        <f>21024295+876000+330000</f>
        <v>22230295</v>
      </c>
      <c r="L23" s="84">
        <v>36045733</v>
      </c>
      <c r="M23" s="38">
        <f t="shared" si="4"/>
        <v>1.6214689458686895</v>
      </c>
      <c r="N23" s="84">
        <v>28888485</v>
      </c>
      <c r="O23" s="84">
        <v>33073586</v>
      </c>
      <c r="P23" s="38">
        <v>1.1448709061759383</v>
      </c>
      <c r="Q23" s="84">
        <v>29807534</v>
      </c>
      <c r="R23" s="84">
        <v>57484982</v>
      </c>
      <c r="S23" s="84"/>
      <c r="T23" s="38">
        <v>0.91803498131989469</v>
      </c>
      <c r="U23" s="32">
        <v>29809162</v>
      </c>
      <c r="V23" s="33">
        <v>29575891.690000001</v>
      </c>
      <c r="W23" s="33"/>
      <c r="X23" s="38">
        <v>0.84142731728142306</v>
      </c>
      <c r="Y23" s="33">
        <v>27526735</v>
      </c>
      <c r="Z23" s="33">
        <v>30987206.150000006</v>
      </c>
      <c r="AA23" s="33"/>
      <c r="AB23" s="38">
        <v>0.34505316458092422</v>
      </c>
      <c r="AC23" s="33"/>
      <c r="AD23" s="33"/>
      <c r="AE23" s="33"/>
      <c r="AF23" s="38"/>
    </row>
    <row r="24" spans="1:32" ht="15.75" customHeight="1" thickBot="1">
      <c r="A24" s="124" t="s">
        <v>28</v>
      </c>
      <c r="B24" s="124"/>
      <c r="C24" s="112">
        <f>SUM(C17:C23)</f>
        <v>260735775</v>
      </c>
      <c r="D24" s="112">
        <f>SUM(D17:D23)</f>
        <v>261670284</v>
      </c>
      <c r="E24" s="106">
        <f t="shared" si="0"/>
        <v>1.0035841226621087</v>
      </c>
      <c r="F24" s="116">
        <f>SUM(F17:F23)</f>
        <v>66118452.75</v>
      </c>
      <c r="G24" s="14">
        <f t="shared" si="2"/>
        <v>195551831.25</v>
      </c>
      <c r="H24" s="27">
        <v>0</v>
      </c>
      <c r="J24" s="21"/>
      <c r="K24" s="85">
        <f>SUM(K17:K23)</f>
        <v>260735775</v>
      </c>
      <c r="L24" s="85">
        <f>SUM(L17:L23)</f>
        <v>261670284</v>
      </c>
      <c r="M24" s="39">
        <f>(L24/K24)</f>
        <v>1.0035841226621087</v>
      </c>
      <c r="N24" s="85">
        <v>259331135</v>
      </c>
      <c r="O24" s="85">
        <v>258220154</v>
      </c>
      <c r="P24" s="39">
        <v>0.99571597525302935</v>
      </c>
      <c r="Q24" s="85">
        <v>256867802</v>
      </c>
      <c r="R24" s="85">
        <v>277859459</v>
      </c>
      <c r="S24" s="85"/>
      <c r="T24" s="39">
        <v>0.91905457539010493</v>
      </c>
      <c r="U24" s="31">
        <v>268005449</v>
      </c>
      <c r="V24" s="31">
        <v>248769096.45999998</v>
      </c>
      <c r="W24" s="31"/>
      <c r="X24" s="39">
        <v>0.90652222887707246</v>
      </c>
      <c r="Y24" s="31">
        <v>263954864</v>
      </c>
      <c r="Z24" s="31">
        <v>253155815.88</v>
      </c>
      <c r="AA24" s="31"/>
      <c r="AB24" s="39">
        <v>0.75995878423354668</v>
      </c>
      <c r="AC24" s="31"/>
      <c r="AD24" s="31"/>
      <c r="AE24" s="31"/>
      <c r="AF24" s="39"/>
    </row>
    <row r="25" spans="1:32" ht="22.5" customHeight="1" thickTop="1">
      <c r="A25" s="103"/>
      <c r="B25" s="103"/>
      <c r="C25" s="103"/>
      <c r="D25" s="103"/>
      <c r="E25" s="103"/>
      <c r="F25" s="103"/>
      <c r="J25" s="21"/>
      <c r="K25" s="21"/>
      <c r="L25" s="21"/>
      <c r="M25" s="21"/>
      <c r="N25" s="26"/>
    </row>
    <row r="26" spans="1:32" ht="15.75">
      <c r="A26" s="103"/>
      <c r="B26" s="103"/>
      <c r="C26" s="103"/>
      <c r="D26" s="103"/>
      <c r="E26" s="103"/>
      <c r="F26" s="103"/>
      <c r="J26" s="21"/>
      <c r="K26" s="21"/>
      <c r="L26" s="21"/>
      <c r="M26" s="21"/>
      <c r="N26" s="26"/>
    </row>
    <row r="27" spans="1:32" ht="15.75">
      <c r="A27" s="103"/>
      <c r="B27" s="103"/>
      <c r="C27" s="103"/>
      <c r="D27" s="103"/>
      <c r="E27" s="103"/>
      <c r="F27" s="103"/>
    </row>
    <row r="28" spans="1:32" ht="15.75">
      <c r="A28" s="103"/>
      <c r="B28" s="103"/>
      <c r="C28" s="103"/>
      <c r="D28" s="103"/>
      <c r="E28" s="103"/>
      <c r="F28" s="103"/>
      <c r="K28" s="92"/>
    </row>
    <row r="29" spans="1:32" ht="15.75">
      <c r="A29" s="103"/>
      <c r="B29" s="103"/>
      <c r="C29" s="103"/>
      <c r="D29" s="103"/>
      <c r="E29" s="103"/>
      <c r="F29" s="103"/>
      <c r="L29" s="92"/>
    </row>
    <row r="30" spans="1:32" ht="15.75">
      <c r="A30" s="103"/>
      <c r="B30" s="103"/>
      <c r="C30" s="103"/>
      <c r="D30" s="103"/>
      <c r="E30" s="103"/>
      <c r="F30" s="103"/>
    </row>
    <row r="31" spans="1:32" ht="15.75">
      <c r="A31" s="103"/>
      <c r="B31" s="103"/>
      <c r="C31" s="103"/>
      <c r="D31" s="103"/>
      <c r="E31" s="103"/>
      <c r="F31" s="103"/>
    </row>
    <row r="32" spans="1:32" ht="15.75">
      <c r="A32" s="103"/>
      <c r="B32" s="103"/>
      <c r="C32" s="103"/>
      <c r="D32" s="103"/>
      <c r="E32" s="103"/>
      <c r="F32" s="103"/>
    </row>
    <row r="33" spans="1:37" ht="15.75">
      <c r="A33" s="103"/>
      <c r="B33" s="103"/>
      <c r="C33" s="103"/>
      <c r="D33" s="103"/>
      <c r="E33" s="103"/>
      <c r="F33" s="103"/>
    </row>
    <row r="34" spans="1:37" ht="15.75">
      <c r="A34" s="103"/>
      <c r="B34" s="103"/>
      <c r="C34" s="103"/>
      <c r="D34" s="103"/>
      <c r="E34" s="103"/>
      <c r="F34" s="103"/>
    </row>
    <row r="35" spans="1:37" ht="15.75">
      <c r="A35" s="103"/>
      <c r="B35" s="103"/>
      <c r="C35" s="103"/>
      <c r="D35" s="103"/>
      <c r="E35" s="103"/>
      <c r="F35" s="103"/>
    </row>
    <row r="36" spans="1:37" ht="15.75">
      <c r="A36" s="103"/>
      <c r="B36" s="103"/>
      <c r="C36" s="103"/>
      <c r="D36" s="103"/>
      <c r="E36" s="103"/>
      <c r="F36" s="103"/>
    </row>
    <row r="37" spans="1:37" ht="15.75">
      <c r="A37" s="103"/>
      <c r="B37" s="103"/>
      <c r="C37" s="103"/>
      <c r="D37" s="103"/>
      <c r="E37" s="103"/>
      <c r="F37" s="103"/>
    </row>
    <row r="38" spans="1:37" ht="15.75">
      <c r="A38" s="103"/>
      <c r="B38" s="103"/>
      <c r="C38" s="103"/>
      <c r="D38" s="103"/>
      <c r="E38" s="103"/>
      <c r="F38" s="103"/>
    </row>
    <row r="39" spans="1:37" ht="15.75">
      <c r="A39" s="103"/>
      <c r="B39" s="103"/>
      <c r="C39" s="103"/>
      <c r="D39" s="103"/>
      <c r="E39" s="103"/>
      <c r="F39" s="103"/>
    </row>
    <row r="40" spans="1:37" ht="15.75">
      <c r="A40" s="103"/>
      <c r="B40" s="103"/>
      <c r="C40" s="103"/>
      <c r="D40" s="103"/>
      <c r="E40" s="103"/>
      <c r="F40" s="103"/>
      <c r="J40" s="35"/>
      <c r="K40" s="35"/>
      <c r="L40" s="35"/>
      <c r="M40" s="35"/>
      <c r="N40" s="35"/>
    </row>
    <row r="41" spans="1:37" ht="15.75">
      <c r="A41" s="103"/>
      <c r="B41" s="103"/>
      <c r="C41" s="103"/>
      <c r="D41" s="103"/>
      <c r="E41" s="103"/>
      <c r="F41" s="103"/>
      <c r="J41" s="35"/>
      <c r="K41" s="35"/>
      <c r="L41" s="35"/>
      <c r="M41" s="35"/>
      <c r="N41" s="35"/>
    </row>
    <row r="42" spans="1:37" ht="15.75">
      <c r="A42" s="103"/>
      <c r="B42" s="103"/>
      <c r="C42" s="103"/>
      <c r="D42" s="103"/>
      <c r="E42" s="103"/>
      <c r="F42" s="103"/>
      <c r="J42" s="35"/>
      <c r="K42" s="35"/>
      <c r="L42" s="35"/>
      <c r="M42" s="35"/>
      <c r="N42" s="35"/>
    </row>
    <row r="43" spans="1:37" ht="15.75">
      <c r="A43" s="103"/>
      <c r="B43" s="103"/>
      <c r="C43" s="103"/>
      <c r="D43" s="103"/>
      <c r="E43" s="103"/>
      <c r="F43" s="103"/>
      <c r="J43" s="35"/>
      <c r="K43" s="35"/>
      <c r="L43" s="35"/>
      <c r="M43" s="35"/>
      <c r="N43" s="35"/>
    </row>
    <row r="44" spans="1:37" ht="15.75">
      <c r="A44" s="103"/>
      <c r="B44" s="103"/>
      <c r="C44" s="103"/>
      <c r="D44" s="103"/>
      <c r="E44" s="103"/>
      <c r="F44" s="103"/>
      <c r="J44" s="35"/>
      <c r="K44" s="35"/>
      <c r="L44" s="35"/>
      <c r="M44" s="35"/>
      <c r="N44" s="35"/>
    </row>
    <row r="45" spans="1:37" ht="15.75">
      <c r="A45" s="103"/>
      <c r="B45" s="103"/>
      <c r="C45" s="103"/>
      <c r="D45" s="103"/>
      <c r="E45" s="103"/>
      <c r="F45" s="103"/>
      <c r="J45" s="35"/>
      <c r="K45" s="35"/>
      <c r="L45" s="35"/>
      <c r="M45" s="35"/>
      <c r="N45" s="35"/>
    </row>
    <row r="46" spans="1:37" ht="33" customHeight="1">
      <c r="A46" s="125" t="s">
        <v>173</v>
      </c>
      <c r="B46" s="125"/>
      <c r="C46" s="125"/>
      <c r="D46" s="125"/>
      <c r="E46" s="125"/>
      <c r="F46" s="125"/>
      <c r="J46" s="35"/>
      <c r="K46" s="35"/>
      <c r="L46" s="35"/>
      <c r="M46" s="35"/>
      <c r="N46" s="35"/>
    </row>
    <row r="47" spans="1:37" ht="6.75" customHeight="1">
      <c r="A47" s="103"/>
      <c r="B47" s="101"/>
      <c r="C47" s="101"/>
      <c r="D47" s="101"/>
      <c r="E47" s="101"/>
      <c r="F47" s="103"/>
      <c r="J47" s="35"/>
      <c r="K47" s="35"/>
      <c r="L47" s="35"/>
      <c r="M47" s="35"/>
      <c r="N47" s="35"/>
    </row>
    <row r="48" spans="1:37" ht="36" customHeight="1">
      <c r="A48" s="126"/>
      <c r="B48" s="126"/>
      <c r="C48" s="117" t="s">
        <v>238</v>
      </c>
      <c r="D48" s="105" t="s">
        <v>260</v>
      </c>
      <c r="E48" s="117" t="s">
        <v>25</v>
      </c>
      <c r="F48" s="105" t="s">
        <v>258</v>
      </c>
      <c r="G48" s="10">
        <v>0.75</v>
      </c>
      <c r="H48" s="2" t="s">
        <v>43</v>
      </c>
      <c r="K48" s="40" t="s">
        <v>238</v>
      </c>
      <c r="L48" s="36" t="s">
        <v>252</v>
      </c>
      <c r="M48" s="37">
        <v>2013</v>
      </c>
      <c r="N48" s="40" t="s">
        <v>196</v>
      </c>
      <c r="O48" s="36" t="s">
        <v>222</v>
      </c>
      <c r="P48" s="37">
        <v>2012</v>
      </c>
      <c r="Q48" s="36" t="s">
        <v>201</v>
      </c>
      <c r="R48" s="40" t="s">
        <v>151</v>
      </c>
      <c r="S48" s="36" t="s">
        <v>223</v>
      </c>
      <c r="T48" s="37">
        <v>2011</v>
      </c>
      <c r="U48" s="36" t="s">
        <v>156</v>
      </c>
      <c r="V48" s="40" t="s">
        <v>94</v>
      </c>
      <c r="W48" s="36" t="s">
        <v>224</v>
      </c>
      <c r="X48" s="37">
        <v>2010</v>
      </c>
      <c r="Y48" s="36" t="s">
        <v>109</v>
      </c>
      <c r="Z48" s="36" t="s">
        <v>1</v>
      </c>
      <c r="AA48" s="36" t="s">
        <v>142</v>
      </c>
      <c r="AB48" s="37">
        <v>2009</v>
      </c>
      <c r="AC48" s="36" t="s">
        <v>111</v>
      </c>
      <c r="AD48" s="36">
        <v>2009</v>
      </c>
      <c r="AE48" s="36" t="s">
        <v>112</v>
      </c>
      <c r="AF48" s="36"/>
      <c r="AG48" s="36"/>
      <c r="AH48" s="37"/>
      <c r="AI48" s="36"/>
      <c r="AJ48" s="36"/>
      <c r="AK48" s="36"/>
    </row>
    <row r="49" spans="1:37" ht="15.75" customHeight="1">
      <c r="A49" s="119" t="s">
        <v>29</v>
      </c>
      <c r="B49" s="120"/>
      <c r="C49" s="113">
        <f>K49</f>
        <v>306822</v>
      </c>
      <c r="D49" s="112">
        <f>L49</f>
        <v>225835</v>
      </c>
      <c r="E49" s="106">
        <f t="shared" ref="E49:E62" si="7">(D49/C49)</f>
        <v>0.73604565513555087</v>
      </c>
      <c r="F49" s="113">
        <f>+G49-D49</f>
        <v>4281.5</v>
      </c>
      <c r="G49" s="23">
        <f>C49*0.75</f>
        <v>230116.5</v>
      </c>
      <c r="H49" s="24">
        <f t="shared" ref="H49:H60" si="8">C49-D49</f>
        <v>80987</v>
      </c>
      <c r="I49" s="1">
        <v>0.75</v>
      </c>
      <c r="J49" s="35" t="s">
        <v>29</v>
      </c>
      <c r="K49" s="13">
        <v>306822</v>
      </c>
      <c r="L49" s="82">
        <v>225835</v>
      </c>
      <c r="M49" s="41">
        <f t="shared" ref="M49:M62" si="9">(L49/K49)</f>
        <v>0.73604565513555087</v>
      </c>
      <c r="N49" s="13">
        <v>304283</v>
      </c>
      <c r="O49" s="82">
        <v>182160</v>
      </c>
      <c r="P49" s="41">
        <v>0.59865322742315541</v>
      </c>
      <c r="Q49" s="13"/>
      <c r="R49" s="13">
        <v>359430</v>
      </c>
      <c r="S49" s="82">
        <v>213324</v>
      </c>
      <c r="T49" s="41">
        <v>0.59350638510975706</v>
      </c>
      <c r="U49" s="13"/>
      <c r="V49" s="13">
        <v>346531</v>
      </c>
      <c r="W49" s="13">
        <v>202151.94</v>
      </c>
      <c r="X49" s="41">
        <v>0.58335889141231234</v>
      </c>
      <c r="Y49" s="13"/>
      <c r="Z49" s="13">
        <v>351630</v>
      </c>
      <c r="AA49" s="13">
        <v>222682.82</v>
      </c>
      <c r="AB49" s="41">
        <v>0.63328731905696334</v>
      </c>
      <c r="AC49" s="13"/>
      <c r="AD49" s="41"/>
      <c r="AE49" s="13"/>
      <c r="AF49" s="13"/>
      <c r="AG49" s="13"/>
      <c r="AH49" s="41"/>
      <c r="AI49" s="13"/>
      <c r="AJ49" s="41"/>
      <c r="AK49" s="13"/>
    </row>
    <row r="50" spans="1:37" ht="15.75" customHeight="1">
      <c r="A50" s="119" t="s">
        <v>116</v>
      </c>
      <c r="B50" s="120"/>
      <c r="C50" s="110">
        <f>K50</f>
        <v>868091</v>
      </c>
      <c r="D50" s="110">
        <f>L50</f>
        <v>658981</v>
      </c>
      <c r="E50" s="106">
        <f t="shared" si="7"/>
        <v>0.75911511581159119</v>
      </c>
      <c r="F50" s="108">
        <f t="shared" ref="F50:F62" si="10">+G50-D50</f>
        <v>-7912.75</v>
      </c>
      <c r="G50" s="23">
        <f t="shared" ref="G50:G62" si="11">C50*0.75</f>
        <v>651068.25</v>
      </c>
      <c r="H50" s="25">
        <f t="shared" si="8"/>
        <v>209110</v>
      </c>
      <c r="I50" s="1">
        <v>0.75</v>
      </c>
      <c r="J50" s="35" t="s">
        <v>116</v>
      </c>
      <c r="K50" s="83">
        <v>868091</v>
      </c>
      <c r="L50" s="86">
        <v>658981</v>
      </c>
      <c r="M50" s="41">
        <f t="shared" si="9"/>
        <v>0.75911511581159119</v>
      </c>
      <c r="N50" s="83">
        <v>1166679</v>
      </c>
      <c r="O50" s="86">
        <v>904062</v>
      </c>
      <c r="P50" s="41">
        <v>0.77490209389215026</v>
      </c>
      <c r="Q50" s="42"/>
      <c r="R50" s="83">
        <v>1134812</v>
      </c>
      <c r="S50" s="86">
        <v>841701</v>
      </c>
      <c r="T50" s="41">
        <v>0.74170964001085637</v>
      </c>
      <c r="U50" s="42"/>
      <c r="V50" s="42">
        <v>1078918</v>
      </c>
      <c r="W50" s="42">
        <v>1981304.88</v>
      </c>
      <c r="X50" s="41">
        <v>1.8363813375993354</v>
      </c>
      <c r="Y50" s="42"/>
      <c r="Z50" s="42">
        <v>1209220</v>
      </c>
      <c r="AA50" s="42">
        <v>2196539.5300000003</v>
      </c>
      <c r="AB50" s="41">
        <v>1.8164928879773741</v>
      </c>
      <c r="AC50" s="42"/>
      <c r="AD50" s="41"/>
      <c r="AE50" s="42"/>
      <c r="AF50" s="42"/>
      <c r="AG50" s="42"/>
      <c r="AH50" s="41"/>
      <c r="AI50" s="42"/>
      <c r="AJ50" s="41"/>
      <c r="AK50" s="13"/>
    </row>
    <row r="51" spans="1:37" ht="15.75" customHeight="1">
      <c r="A51" s="119" t="s">
        <v>131</v>
      </c>
      <c r="B51" s="120"/>
      <c r="C51" s="110">
        <f t="shared" ref="C51:D61" si="12">K51</f>
        <v>44841468</v>
      </c>
      <c r="D51" s="110">
        <f t="shared" si="12"/>
        <v>37758833</v>
      </c>
      <c r="E51" s="106">
        <f t="shared" si="7"/>
        <v>0.84205166967325873</v>
      </c>
      <c r="F51" s="108">
        <f t="shared" si="10"/>
        <v>-4127732</v>
      </c>
      <c r="G51" s="23">
        <f t="shared" si="11"/>
        <v>33631101</v>
      </c>
      <c r="H51" s="25">
        <f t="shared" si="8"/>
        <v>7082635</v>
      </c>
      <c r="I51" s="1">
        <v>0.75</v>
      </c>
      <c r="J51" s="35" t="s">
        <v>131</v>
      </c>
      <c r="K51" s="83">
        <v>44841468</v>
      </c>
      <c r="L51" s="86">
        <v>37758833</v>
      </c>
      <c r="M51" s="41">
        <f t="shared" si="9"/>
        <v>0.84205166967325873</v>
      </c>
      <c r="N51" s="83">
        <v>43927702</v>
      </c>
      <c r="O51" s="86">
        <v>35916621</v>
      </c>
      <c r="P51" s="41">
        <v>0.81763031901828143</v>
      </c>
      <c r="Q51" s="42"/>
      <c r="R51" s="83">
        <v>43487800</v>
      </c>
      <c r="S51" s="86">
        <v>37466177</v>
      </c>
      <c r="T51" s="41">
        <v>0.86153305064868768</v>
      </c>
      <c r="U51" s="42"/>
      <c r="V51" s="42">
        <v>43665123</v>
      </c>
      <c r="W51" s="42">
        <v>35056726.109999999</v>
      </c>
      <c r="X51" s="41">
        <v>0.80285417059285502</v>
      </c>
      <c r="Y51" s="42"/>
      <c r="Z51" s="42">
        <v>42789548</v>
      </c>
      <c r="AA51" s="42">
        <v>34012144.530000001</v>
      </c>
      <c r="AB51" s="41">
        <v>0.79487038587086734</v>
      </c>
      <c r="AC51" s="42"/>
      <c r="AD51" s="41"/>
      <c r="AE51" s="42"/>
      <c r="AF51" s="42"/>
      <c r="AG51" s="42"/>
      <c r="AH51" s="41"/>
      <c r="AI51" s="42"/>
      <c r="AJ51" s="41"/>
      <c r="AK51" s="13"/>
    </row>
    <row r="52" spans="1:37" ht="15.75" customHeight="1">
      <c r="A52" s="119" t="s">
        <v>30</v>
      </c>
      <c r="B52" s="120"/>
      <c r="C52" s="110">
        <f t="shared" si="12"/>
        <v>3847599</v>
      </c>
      <c r="D52" s="110">
        <f t="shared" si="12"/>
        <v>2324704</v>
      </c>
      <c r="E52" s="106">
        <f t="shared" si="7"/>
        <v>0.60419601938767531</v>
      </c>
      <c r="F52" s="108">
        <f t="shared" si="10"/>
        <v>560995.25</v>
      </c>
      <c r="G52" s="23">
        <f t="shared" si="11"/>
        <v>2885699.25</v>
      </c>
      <c r="H52" s="25">
        <f t="shared" si="8"/>
        <v>1522895</v>
      </c>
      <c r="I52" s="1">
        <v>0.75</v>
      </c>
      <c r="J52" s="35" t="s">
        <v>30</v>
      </c>
      <c r="K52" s="83">
        <v>3847599</v>
      </c>
      <c r="L52" s="86">
        <v>2324704</v>
      </c>
      <c r="M52" s="41">
        <f t="shared" si="9"/>
        <v>0.60419601938767531</v>
      </c>
      <c r="N52" s="83">
        <v>3539581</v>
      </c>
      <c r="O52" s="86">
        <v>2010909</v>
      </c>
      <c r="P52" s="41">
        <v>0.56812063348740993</v>
      </c>
      <c r="Q52" s="42"/>
      <c r="R52" s="83">
        <v>2892101</v>
      </c>
      <c r="S52" s="86">
        <v>1971916</v>
      </c>
      <c r="T52" s="41">
        <v>0.68182819341371548</v>
      </c>
      <c r="U52" s="42"/>
      <c r="V52" s="42">
        <v>3263326</v>
      </c>
      <c r="W52" s="42">
        <v>2325326.02</v>
      </c>
      <c r="X52" s="41">
        <v>0.71256320085703972</v>
      </c>
      <c r="Y52" s="42"/>
      <c r="Z52" s="42">
        <v>3360551</v>
      </c>
      <c r="AA52" s="42">
        <v>2762080.41</v>
      </c>
      <c r="AB52" s="41">
        <v>0.82191295713113721</v>
      </c>
      <c r="AC52" s="42"/>
      <c r="AD52" s="41"/>
      <c r="AE52" s="42"/>
      <c r="AF52" s="42"/>
      <c r="AG52" s="42"/>
      <c r="AH52" s="41"/>
      <c r="AI52" s="42"/>
      <c r="AJ52" s="41"/>
      <c r="AK52" s="13"/>
    </row>
    <row r="53" spans="1:37" ht="15.75" customHeight="1">
      <c r="A53" s="119" t="s">
        <v>15</v>
      </c>
      <c r="B53" s="120"/>
      <c r="C53" s="110">
        <f t="shared" si="12"/>
        <v>10587235</v>
      </c>
      <c r="D53" s="110">
        <f t="shared" si="12"/>
        <v>7038459</v>
      </c>
      <c r="E53" s="106">
        <f t="shared" si="7"/>
        <v>0.66480615571487744</v>
      </c>
      <c r="F53" s="108">
        <f t="shared" si="10"/>
        <v>901967.25</v>
      </c>
      <c r="G53" s="23">
        <f t="shared" si="11"/>
        <v>7940426.25</v>
      </c>
      <c r="H53" s="25">
        <f t="shared" si="8"/>
        <v>3548776</v>
      </c>
      <c r="I53" s="1">
        <v>0.75</v>
      </c>
      <c r="J53" s="35" t="s">
        <v>15</v>
      </c>
      <c r="K53" s="83">
        <v>10587235</v>
      </c>
      <c r="L53" s="86">
        <v>7038459</v>
      </c>
      <c r="M53" s="41">
        <f t="shared" si="9"/>
        <v>0.66480615571487744</v>
      </c>
      <c r="N53" s="83">
        <v>10245180</v>
      </c>
      <c r="O53" s="86">
        <v>7358371</v>
      </c>
      <c r="P53" s="41">
        <v>0.7182275958060278</v>
      </c>
      <c r="Q53" s="42"/>
      <c r="R53" s="83">
        <v>10586321</v>
      </c>
      <c r="S53" s="86">
        <v>7523615</v>
      </c>
      <c r="T53" s="41">
        <v>0.71069212807735571</v>
      </c>
      <c r="U53" s="42"/>
      <c r="V53" s="42">
        <v>10604579</v>
      </c>
      <c r="W53" s="42">
        <v>7648186.1399999997</v>
      </c>
      <c r="X53" s="41">
        <v>0.7212154428761387</v>
      </c>
      <c r="Y53" s="42"/>
      <c r="Z53" s="42">
        <v>10906229</v>
      </c>
      <c r="AA53" s="42">
        <v>7281216.5200000005</v>
      </c>
      <c r="AB53" s="41">
        <v>0.66761999220812263</v>
      </c>
      <c r="AC53" s="42"/>
      <c r="AD53" s="41"/>
      <c r="AE53" s="42"/>
      <c r="AF53" s="42"/>
      <c r="AG53" s="42"/>
      <c r="AH53" s="41"/>
      <c r="AI53" s="42"/>
      <c r="AJ53" s="41"/>
      <c r="AK53" s="13"/>
    </row>
    <row r="54" spans="1:37" ht="15.75" customHeight="1">
      <c r="A54" s="119" t="s">
        <v>14</v>
      </c>
      <c r="B54" s="120"/>
      <c r="C54" s="110">
        <f t="shared" si="12"/>
        <v>37241658</v>
      </c>
      <c r="D54" s="110">
        <f t="shared" si="12"/>
        <v>21679632</v>
      </c>
      <c r="E54" s="106">
        <f t="shared" si="7"/>
        <v>0.58213391036457074</v>
      </c>
      <c r="F54" s="108">
        <f t="shared" si="10"/>
        <v>6251611.5</v>
      </c>
      <c r="G54" s="23">
        <f t="shared" si="11"/>
        <v>27931243.5</v>
      </c>
      <c r="H54" s="25">
        <f t="shared" si="8"/>
        <v>15562026</v>
      </c>
      <c r="I54" s="1">
        <v>0.75</v>
      </c>
      <c r="J54" s="35" t="s">
        <v>205</v>
      </c>
      <c r="K54" s="83">
        <v>37241658</v>
      </c>
      <c r="L54" s="86">
        <v>21679632</v>
      </c>
      <c r="M54" s="41">
        <f t="shared" si="9"/>
        <v>0.58213391036457074</v>
      </c>
      <c r="N54" s="83">
        <v>35621648</v>
      </c>
      <c r="O54" s="86">
        <v>20790147</v>
      </c>
      <c r="P54" s="41">
        <v>0.58363798889933449</v>
      </c>
      <c r="Q54" s="42"/>
      <c r="R54" s="83">
        <v>41179358</v>
      </c>
      <c r="S54" s="86">
        <v>23831231</v>
      </c>
      <c r="T54" s="41">
        <v>0.57871788579122574</v>
      </c>
      <c r="U54" s="42"/>
      <c r="V54" s="42">
        <v>40714461</v>
      </c>
      <c r="W54" s="42">
        <v>26634545.899999999</v>
      </c>
      <c r="X54" s="41">
        <v>0.65417901271000489</v>
      </c>
      <c r="Y54" s="42"/>
      <c r="Z54" s="42">
        <v>39128938</v>
      </c>
      <c r="AA54" s="42">
        <v>22492560.529999997</v>
      </c>
      <c r="AB54" s="41">
        <v>0.57483186816877063</v>
      </c>
      <c r="AC54" s="42"/>
      <c r="AD54" s="41"/>
      <c r="AE54" s="42"/>
      <c r="AF54" s="42"/>
      <c r="AG54" s="42"/>
      <c r="AH54" s="41"/>
      <c r="AI54" s="42"/>
      <c r="AJ54" s="41"/>
      <c r="AK54" s="13"/>
    </row>
    <row r="55" spans="1:37" ht="15.75" customHeight="1">
      <c r="A55" s="119" t="s">
        <v>117</v>
      </c>
      <c r="B55" s="120"/>
      <c r="C55" s="110">
        <f t="shared" si="12"/>
        <v>18059452</v>
      </c>
      <c r="D55" s="110">
        <f t="shared" si="12"/>
        <v>12958320</v>
      </c>
      <c r="E55" s="106">
        <f t="shared" si="7"/>
        <v>0.71753672259822721</v>
      </c>
      <c r="F55" s="108">
        <f t="shared" si="10"/>
        <v>586269</v>
      </c>
      <c r="G55" s="23">
        <f t="shared" si="11"/>
        <v>13544589</v>
      </c>
      <c r="H55" s="25">
        <f t="shared" si="8"/>
        <v>5101132</v>
      </c>
      <c r="I55" s="1">
        <v>0.75</v>
      </c>
      <c r="J55" s="35" t="s">
        <v>117</v>
      </c>
      <c r="K55" s="83">
        <v>18059452</v>
      </c>
      <c r="L55" s="86">
        <v>12958320</v>
      </c>
      <c r="M55" s="41">
        <f t="shared" si="9"/>
        <v>0.71753672259822721</v>
      </c>
      <c r="N55" s="83">
        <v>17339921</v>
      </c>
      <c r="O55" s="86">
        <v>12261976</v>
      </c>
      <c r="P55" s="41">
        <v>0.70715293339571728</v>
      </c>
      <c r="Q55" s="42"/>
      <c r="R55" s="83">
        <v>19492602</v>
      </c>
      <c r="S55" s="86">
        <v>13671956</v>
      </c>
      <c r="T55" s="41">
        <v>0.70139204606958061</v>
      </c>
      <c r="U55" s="42"/>
      <c r="V55" s="42">
        <v>17404071</v>
      </c>
      <c r="W55" s="42">
        <v>13766280.4</v>
      </c>
      <c r="X55" s="41">
        <v>0.79098047807320482</v>
      </c>
      <c r="Y55" s="42"/>
      <c r="Z55" s="42">
        <v>17368061</v>
      </c>
      <c r="AA55" s="42">
        <v>12133592.5</v>
      </c>
      <c r="AB55" s="41">
        <v>0.69861526280912989</v>
      </c>
      <c r="AC55" s="42"/>
      <c r="AD55" s="41"/>
      <c r="AE55" s="42"/>
      <c r="AF55" s="42"/>
      <c r="AG55" s="42"/>
      <c r="AH55" s="41"/>
      <c r="AI55" s="42"/>
      <c r="AJ55" s="41"/>
      <c r="AK55" s="13"/>
    </row>
    <row r="56" spans="1:37" ht="15.75" customHeight="1">
      <c r="A56" s="119" t="s">
        <v>31</v>
      </c>
      <c r="B56" s="120"/>
      <c r="C56" s="110">
        <f t="shared" si="12"/>
        <v>17302343</v>
      </c>
      <c r="D56" s="110">
        <f t="shared" si="12"/>
        <v>11577067</v>
      </c>
      <c r="E56" s="106">
        <f t="shared" si="7"/>
        <v>0.66910400516276902</v>
      </c>
      <c r="F56" s="108">
        <f t="shared" si="10"/>
        <v>1399690.25</v>
      </c>
      <c r="G56" s="23">
        <f t="shared" si="11"/>
        <v>12976757.25</v>
      </c>
      <c r="H56" s="25">
        <f t="shared" si="8"/>
        <v>5725276</v>
      </c>
      <c r="I56" s="1">
        <v>0.75</v>
      </c>
      <c r="J56" s="35" t="s">
        <v>31</v>
      </c>
      <c r="K56" s="83">
        <v>17302343</v>
      </c>
      <c r="L56" s="86">
        <v>11577067</v>
      </c>
      <c r="M56" s="41">
        <f t="shared" si="9"/>
        <v>0.66910400516276902</v>
      </c>
      <c r="N56" s="83">
        <v>17000798</v>
      </c>
      <c r="O56" s="86">
        <v>11713595</v>
      </c>
      <c r="P56" s="41">
        <v>0.68900265740467004</v>
      </c>
      <c r="Q56" s="42"/>
      <c r="R56" s="83">
        <v>17117766</v>
      </c>
      <c r="S56" s="86">
        <v>11957370</v>
      </c>
      <c r="T56" s="41">
        <v>0.69853566172127834</v>
      </c>
      <c r="U56" s="42"/>
      <c r="V56" s="42">
        <v>17413314</v>
      </c>
      <c r="W56" s="42">
        <v>11991182.59</v>
      </c>
      <c r="X56" s="41">
        <v>0.68862151052924214</v>
      </c>
      <c r="Y56" s="42"/>
      <c r="Z56" s="42">
        <v>17278014</v>
      </c>
      <c r="AA56" s="42">
        <v>11419344.209999999</v>
      </c>
      <c r="AB56" s="41">
        <v>0.66091763845080798</v>
      </c>
      <c r="AC56" s="42"/>
      <c r="AD56" s="41"/>
      <c r="AE56" s="42"/>
      <c r="AF56" s="42"/>
      <c r="AG56" s="42"/>
      <c r="AH56" s="41"/>
      <c r="AI56" s="42"/>
      <c r="AJ56" s="41"/>
      <c r="AK56" s="13"/>
    </row>
    <row r="57" spans="1:37" ht="15.75" customHeight="1">
      <c r="A57" s="119" t="s">
        <v>32</v>
      </c>
      <c r="B57" s="120"/>
      <c r="C57" s="110">
        <f t="shared" si="12"/>
        <v>10551894</v>
      </c>
      <c r="D57" s="110">
        <f t="shared" si="12"/>
        <v>7243314</v>
      </c>
      <c r="E57" s="106">
        <f t="shared" si="7"/>
        <v>0.68644681229739424</v>
      </c>
      <c r="F57" s="108">
        <f t="shared" si="10"/>
        <v>670606.5</v>
      </c>
      <c r="G57" s="23">
        <f t="shared" si="11"/>
        <v>7913920.5</v>
      </c>
      <c r="H57" s="25">
        <f t="shared" si="8"/>
        <v>3308580</v>
      </c>
      <c r="I57" s="1">
        <v>0.75</v>
      </c>
      <c r="J57" s="35" t="s">
        <v>32</v>
      </c>
      <c r="K57" s="83">
        <v>10551894</v>
      </c>
      <c r="L57" s="86">
        <v>7243314</v>
      </c>
      <c r="M57" s="41">
        <f t="shared" si="9"/>
        <v>0.68644681229739424</v>
      </c>
      <c r="N57" s="83">
        <v>10468040</v>
      </c>
      <c r="O57" s="86">
        <v>7456774</v>
      </c>
      <c r="P57" s="41">
        <v>0.71233717104634675</v>
      </c>
      <c r="Q57" s="42"/>
      <c r="R57" s="83">
        <v>10895570</v>
      </c>
      <c r="S57" s="86">
        <v>7892877</v>
      </c>
      <c r="T57" s="41">
        <v>0.72441157277682577</v>
      </c>
      <c r="U57" s="42"/>
      <c r="V57" s="42">
        <v>10775827</v>
      </c>
      <c r="W57" s="42">
        <v>7962812.9000000004</v>
      </c>
      <c r="X57" s="41">
        <v>0.73895144196357276</v>
      </c>
      <c r="Y57" s="42"/>
      <c r="Z57" s="42">
        <v>10462445</v>
      </c>
      <c r="AA57" s="42">
        <v>7385814.9500000002</v>
      </c>
      <c r="AB57" s="41">
        <v>0.70593584482403493</v>
      </c>
      <c r="AC57" s="42"/>
      <c r="AD57" s="41"/>
      <c r="AE57" s="42"/>
      <c r="AF57" s="42"/>
      <c r="AG57" s="42"/>
      <c r="AH57" s="41"/>
      <c r="AI57" s="42"/>
      <c r="AJ57" s="41"/>
      <c r="AK57" s="13"/>
    </row>
    <row r="58" spans="1:37" ht="15.75" customHeight="1">
      <c r="A58" s="119" t="s">
        <v>33</v>
      </c>
      <c r="B58" s="120"/>
      <c r="C58" s="110">
        <f t="shared" si="12"/>
        <v>12219036</v>
      </c>
      <c r="D58" s="110">
        <f t="shared" si="12"/>
        <v>9063174</v>
      </c>
      <c r="E58" s="106">
        <f t="shared" si="7"/>
        <v>0.74172577934953299</v>
      </c>
      <c r="F58" s="108">
        <f t="shared" si="10"/>
        <v>101103</v>
      </c>
      <c r="G58" s="23">
        <f t="shared" si="11"/>
        <v>9164277</v>
      </c>
      <c r="H58" s="25">
        <f t="shared" si="8"/>
        <v>3155862</v>
      </c>
      <c r="I58" s="1">
        <v>0.75</v>
      </c>
      <c r="J58" s="35" t="s">
        <v>33</v>
      </c>
      <c r="K58" s="83">
        <v>12219036</v>
      </c>
      <c r="L58" s="86">
        <v>9063174</v>
      </c>
      <c r="M58" s="41">
        <f t="shared" si="9"/>
        <v>0.74172577934953299</v>
      </c>
      <c r="N58" s="83">
        <v>13924247</v>
      </c>
      <c r="O58" s="86">
        <v>8703059</v>
      </c>
      <c r="P58" s="41">
        <v>0.62502905902200667</v>
      </c>
      <c r="Q58" s="42"/>
      <c r="R58" s="83">
        <v>11591817</v>
      </c>
      <c r="S58" s="86">
        <v>17038459</v>
      </c>
      <c r="T58" s="41">
        <v>1.4698695640208952</v>
      </c>
      <c r="U58" s="42"/>
      <c r="V58" s="42">
        <v>13414559</v>
      </c>
      <c r="W58" s="42">
        <v>12073599.41</v>
      </c>
      <c r="X58" s="41">
        <v>0.9000369978618008</v>
      </c>
      <c r="Y58" s="42"/>
      <c r="Z58" s="42">
        <v>13483773</v>
      </c>
      <c r="AA58" s="42">
        <v>16032630.470000003</v>
      </c>
      <c r="AB58" s="41">
        <v>1.1890314728674238</v>
      </c>
      <c r="AC58" s="42"/>
      <c r="AD58" s="41"/>
      <c r="AE58" s="42"/>
      <c r="AF58" s="42"/>
      <c r="AG58" s="42"/>
      <c r="AH58" s="41"/>
      <c r="AI58" s="42"/>
      <c r="AJ58" s="41"/>
      <c r="AK58" s="13"/>
    </row>
    <row r="59" spans="1:37" ht="15.75" customHeight="1">
      <c r="A59" s="119" t="s">
        <v>34</v>
      </c>
      <c r="B59" s="120"/>
      <c r="C59" s="110">
        <f t="shared" si="12"/>
        <v>62722061</v>
      </c>
      <c r="D59" s="110">
        <f t="shared" si="12"/>
        <v>44764937</v>
      </c>
      <c r="E59" s="106">
        <f t="shared" si="7"/>
        <v>0.71370322158259436</v>
      </c>
      <c r="F59" s="108">
        <f t="shared" si="10"/>
        <v>2276608.75</v>
      </c>
      <c r="G59" s="23">
        <f t="shared" si="11"/>
        <v>47041545.75</v>
      </c>
      <c r="H59" s="25">
        <f t="shared" si="8"/>
        <v>17957124</v>
      </c>
      <c r="I59" s="1">
        <v>0.75</v>
      </c>
      <c r="J59" s="35" t="s">
        <v>34</v>
      </c>
      <c r="K59" s="83">
        <v>62722061</v>
      </c>
      <c r="L59" s="86">
        <v>44764937</v>
      </c>
      <c r="M59" s="41">
        <f t="shared" si="9"/>
        <v>0.71370322158259436</v>
      </c>
      <c r="N59" s="83">
        <v>63810544</v>
      </c>
      <c r="O59" s="86">
        <v>46919857</v>
      </c>
      <c r="P59" s="41">
        <v>0.73529943577976709</v>
      </c>
      <c r="Q59" s="42"/>
      <c r="R59" s="83">
        <v>65349602</v>
      </c>
      <c r="S59" s="86">
        <v>48082108</v>
      </c>
      <c r="T59" s="41">
        <v>0.73576741905788501</v>
      </c>
      <c r="U59" s="42"/>
      <c r="V59" s="42">
        <v>65544767</v>
      </c>
      <c r="W59" s="42">
        <v>48274052.920000002</v>
      </c>
      <c r="X59" s="41">
        <v>0.73650506561416262</v>
      </c>
      <c r="Y59" s="42"/>
      <c r="Z59" s="42">
        <v>65608655</v>
      </c>
      <c r="AA59" s="42">
        <v>45457467.979999997</v>
      </c>
      <c r="AB59" s="41">
        <v>0.69285779414316595</v>
      </c>
      <c r="AC59" s="42"/>
      <c r="AD59" s="41"/>
      <c r="AE59" s="42"/>
      <c r="AF59" s="42"/>
      <c r="AG59" s="42"/>
      <c r="AH59" s="41"/>
      <c r="AI59" s="42"/>
      <c r="AJ59" s="41"/>
      <c r="AK59" s="13"/>
    </row>
    <row r="60" spans="1:37" ht="15.75" customHeight="1">
      <c r="A60" s="119" t="s">
        <v>132</v>
      </c>
      <c r="B60" s="120"/>
      <c r="C60" s="110">
        <f t="shared" si="12"/>
        <v>20550895</v>
      </c>
      <c r="D60" s="110">
        <f t="shared" si="12"/>
        <v>14980960</v>
      </c>
      <c r="E60" s="106">
        <f t="shared" si="7"/>
        <v>0.72896873834448572</v>
      </c>
      <c r="F60" s="108">
        <f t="shared" si="10"/>
        <v>432211.25</v>
      </c>
      <c r="G60" s="23">
        <f t="shared" si="11"/>
        <v>15413171.25</v>
      </c>
      <c r="H60" s="25">
        <f t="shared" si="8"/>
        <v>5569935</v>
      </c>
      <c r="I60" s="1">
        <v>0.75</v>
      </c>
      <c r="J60" s="35" t="s">
        <v>132</v>
      </c>
      <c r="K60" s="83">
        <v>20550895</v>
      </c>
      <c r="L60" s="86">
        <v>14980960</v>
      </c>
      <c r="M60" s="41">
        <f t="shared" si="9"/>
        <v>0.72896873834448572</v>
      </c>
      <c r="N60" s="83">
        <v>19894693</v>
      </c>
      <c r="O60" s="86">
        <v>15729719</v>
      </c>
      <c r="P60" s="41">
        <v>0.79064899367886698</v>
      </c>
      <c r="Q60" s="42"/>
      <c r="R60" s="83">
        <v>19688923</v>
      </c>
      <c r="S60" s="86">
        <v>17414205</v>
      </c>
      <c r="T60" s="41">
        <v>0.88446711889726015</v>
      </c>
      <c r="U60" s="42"/>
      <c r="V60" s="42">
        <v>19347332</v>
      </c>
      <c r="W60" s="42">
        <v>45912993.799999997</v>
      </c>
      <c r="X60" s="41">
        <v>2.3730917420551836</v>
      </c>
      <c r="Y60" s="42"/>
      <c r="Z60" s="42">
        <v>19861346</v>
      </c>
      <c r="AA60" s="42">
        <v>41555245.810000002</v>
      </c>
      <c r="AB60" s="41">
        <v>2.0922673523738018</v>
      </c>
      <c r="AC60" s="42"/>
      <c r="AD60" s="41"/>
      <c r="AE60" s="42"/>
      <c r="AF60" s="42"/>
      <c r="AG60" s="42"/>
      <c r="AH60" s="41"/>
      <c r="AI60" s="42"/>
      <c r="AJ60" s="41"/>
      <c r="AK60" s="13"/>
    </row>
    <row r="61" spans="1:37" ht="15.75" customHeight="1" thickBot="1">
      <c r="A61" s="119" t="s">
        <v>255</v>
      </c>
      <c r="B61" s="120"/>
      <c r="C61" s="110">
        <f t="shared" si="12"/>
        <v>20015145</v>
      </c>
      <c r="D61" s="110">
        <f t="shared" si="12"/>
        <v>27855416</v>
      </c>
      <c r="E61" s="106">
        <f t="shared" si="7"/>
        <v>1.3917169223605426</v>
      </c>
      <c r="F61" s="108">
        <f t="shared" si="10"/>
        <v>-12844057.25</v>
      </c>
      <c r="G61" s="23">
        <f t="shared" si="11"/>
        <v>15011358.75</v>
      </c>
      <c r="H61" s="25">
        <v>0</v>
      </c>
      <c r="I61" s="1">
        <v>0.75</v>
      </c>
      <c r="J61" s="35" t="s">
        <v>255</v>
      </c>
      <c r="K61" s="84">
        <v>20015145</v>
      </c>
      <c r="L61" s="87">
        <v>27855416</v>
      </c>
      <c r="M61" s="38">
        <f t="shared" si="9"/>
        <v>1.3917169223605426</v>
      </c>
      <c r="N61" s="84">
        <v>27624277</v>
      </c>
      <c r="O61" s="87">
        <v>25786183</v>
      </c>
      <c r="P61" s="38">
        <v>0.93346091917627383</v>
      </c>
      <c r="Q61" s="44"/>
      <c r="R61" s="84">
        <v>28150079</v>
      </c>
      <c r="S61" s="87">
        <v>49529427</v>
      </c>
      <c r="T61" s="38">
        <v>1.7594773712713203</v>
      </c>
      <c r="U61" s="44"/>
      <c r="V61" s="44">
        <v>26609348</v>
      </c>
      <c r="W61" s="44">
        <v>26147759.859999999</v>
      </c>
      <c r="X61" s="38">
        <v>0.98265315858171343</v>
      </c>
      <c r="Y61" s="44"/>
      <c r="Z61" s="44">
        <v>27673796</v>
      </c>
      <c r="AA61" s="44">
        <v>24713842.280000001</v>
      </c>
      <c r="AB61" s="38">
        <v>0.89304128280775075</v>
      </c>
      <c r="AC61" s="44"/>
      <c r="AD61" s="38"/>
      <c r="AE61" s="44"/>
      <c r="AF61" s="44"/>
      <c r="AG61" s="44"/>
      <c r="AH61" s="38"/>
      <c r="AI61" s="44"/>
      <c r="AJ61" s="38"/>
      <c r="AK61" s="45"/>
    </row>
    <row r="62" spans="1:37" ht="15.75" customHeight="1" thickBot="1">
      <c r="A62" s="121" t="s">
        <v>28</v>
      </c>
      <c r="B62" s="122"/>
      <c r="C62" s="112">
        <f>SUM(C49:C61)</f>
        <v>259113699</v>
      </c>
      <c r="D62" s="112">
        <f>SUM(D49:D61)</f>
        <v>198129632</v>
      </c>
      <c r="E62" s="106">
        <f t="shared" si="7"/>
        <v>0.76464360149480171</v>
      </c>
      <c r="F62" s="114">
        <f t="shared" si="10"/>
        <v>-3794357.75</v>
      </c>
      <c r="G62" s="23">
        <f t="shared" si="11"/>
        <v>194335274.25</v>
      </c>
      <c r="H62" s="15">
        <f>SUM(H49:H61)</f>
        <v>68824338</v>
      </c>
      <c r="J62" s="30"/>
      <c r="K62" s="43">
        <f>SUM(K49:K61)</f>
        <v>259113699</v>
      </c>
      <c r="L62" s="43">
        <f>SUM(L49:L61)</f>
        <v>198129632</v>
      </c>
      <c r="M62" s="39">
        <f t="shared" si="9"/>
        <v>0.76464360149480171</v>
      </c>
      <c r="N62" s="43">
        <v>264867593</v>
      </c>
      <c r="O62" s="43">
        <v>195733433</v>
      </c>
      <c r="P62" s="39">
        <v>0.73898596194061383</v>
      </c>
      <c r="Q62" s="43"/>
      <c r="R62" s="43">
        <v>271926181</v>
      </c>
      <c r="S62" s="43">
        <v>237434366</v>
      </c>
      <c r="T62" s="39">
        <v>0.87315743238419552</v>
      </c>
      <c r="U62" s="43"/>
      <c r="V62" s="43">
        <v>270182156</v>
      </c>
      <c r="W62" s="43">
        <v>239976922.87000006</v>
      </c>
      <c r="X62" s="39">
        <v>0.88820418943581181</v>
      </c>
      <c r="Y62" s="43"/>
      <c r="Z62" s="43">
        <v>269482206</v>
      </c>
      <c r="AA62" s="43">
        <v>227665162.53999999</v>
      </c>
      <c r="AB62" s="39">
        <v>0.84482447252936621</v>
      </c>
      <c r="AC62" s="43"/>
      <c r="AD62" s="39"/>
      <c r="AE62" s="43"/>
      <c r="AF62" s="43"/>
      <c r="AG62" s="43"/>
      <c r="AH62" s="39"/>
      <c r="AI62" s="43"/>
      <c r="AJ62" s="39"/>
      <c r="AK62" s="43"/>
    </row>
    <row r="63" spans="1:37" ht="16.5" thickTop="1">
      <c r="A63" s="103"/>
      <c r="B63" s="103"/>
      <c r="C63" s="103"/>
      <c r="D63" s="103"/>
      <c r="E63" s="103"/>
      <c r="F63" s="103"/>
      <c r="J63" s="79"/>
      <c r="K63" s="79"/>
      <c r="L63" s="79"/>
      <c r="M63" s="79"/>
    </row>
    <row r="64" spans="1:37" ht="15.75">
      <c r="A64" s="103"/>
      <c r="B64" s="103"/>
      <c r="C64" s="103"/>
      <c r="D64" s="103"/>
      <c r="E64" s="103"/>
      <c r="F64" s="103"/>
      <c r="J64" s="79"/>
      <c r="K64" s="79"/>
      <c r="L64" s="79"/>
      <c r="M64" s="79"/>
    </row>
    <row r="65" spans="1:13" ht="15.75">
      <c r="A65" s="103"/>
      <c r="B65" s="103"/>
      <c r="C65" s="103"/>
      <c r="D65" s="103"/>
      <c r="E65" s="103"/>
      <c r="F65" s="103"/>
      <c r="J65" s="79"/>
      <c r="K65" s="79"/>
      <c r="L65" s="79"/>
      <c r="M65" s="79"/>
    </row>
    <row r="66" spans="1:13" ht="15.75">
      <c r="A66" s="103"/>
      <c r="B66" s="103"/>
      <c r="C66" s="103"/>
      <c r="D66" s="103"/>
      <c r="E66" s="103"/>
      <c r="F66" s="103"/>
      <c r="J66" s="79"/>
      <c r="K66" s="79"/>
      <c r="L66" s="79"/>
      <c r="M66" s="79"/>
    </row>
    <row r="67" spans="1:13" ht="15.75">
      <c r="A67" s="103"/>
      <c r="B67" s="103"/>
      <c r="C67" s="103"/>
      <c r="D67" s="103"/>
      <c r="E67" s="103"/>
      <c r="F67" s="103"/>
      <c r="J67" s="79"/>
      <c r="K67" s="79"/>
      <c r="L67" s="79"/>
      <c r="M67" s="79"/>
    </row>
    <row r="68" spans="1:13" ht="15.75">
      <c r="A68" s="103"/>
      <c r="B68" s="103"/>
      <c r="C68" s="103"/>
      <c r="D68" s="103"/>
      <c r="E68" s="103"/>
      <c r="F68" s="103"/>
      <c r="J68" s="79"/>
      <c r="K68" s="79"/>
      <c r="L68" s="79"/>
      <c r="M68" s="79"/>
    </row>
    <row r="69" spans="1:13" ht="15.75">
      <c r="A69" s="103"/>
      <c r="B69" s="103"/>
      <c r="C69" s="103"/>
      <c r="D69" s="103"/>
      <c r="E69" s="103"/>
      <c r="F69" s="103"/>
      <c r="J69" s="79"/>
      <c r="K69" s="79"/>
      <c r="L69" s="79"/>
      <c r="M69" s="79"/>
    </row>
    <row r="70" spans="1:13" ht="15.75">
      <c r="A70" s="103"/>
      <c r="B70" s="103"/>
      <c r="C70" s="103"/>
      <c r="D70" s="103"/>
      <c r="E70" s="103"/>
      <c r="F70" s="103"/>
      <c r="J70" s="79"/>
      <c r="K70" s="79"/>
      <c r="L70" s="79"/>
      <c r="M70" s="79"/>
    </row>
    <row r="71" spans="1:13" ht="15.75">
      <c r="A71" s="103"/>
      <c r="B71" s="103"/>
      <c r="C71" s="103"/>
      <c r="D71" s="103"/>
      <c r="E71" s="103"/>
      <c r="F71" s="103"/>
      <c r="J71" s="79"/>
      <c r="K71" s="79"/>
      <c r="L71" s="79"/>
      <c r="M71" s="79"/>
    </row>
    <row r="72" spans="1:13" ht="15.75">
      <c r="A72" s="103"/>
      <c r="B72" s="103"/>
      <c r="C72" s="103"/>
      <c r="D72" s="103"/>
      <c r="E72" s="103"/>
      <c r="F72" s="103"/>
      <c r="J72" s="79"/>
      <c r="K72" s="79"/>
      <c r="L72" s="79"/>
      <c r="M72" s="79"/>
    </row>
    <row r="73" spans="1:13" ht="15.75">
      <c r="A73" s="103"/>
      <c r="B73" s="103"/>
      <c r="C73" s="103"/>
      <c r="D73" s="103"/>
      <c r="E73" s="103"/>
      <c r="F73" s="103"/>
      <c r="J73" s="79"/>
      <c r="K73" s="79"/>
      <c r="L73" s="79"/>
      <c r="M73" s="79"/>
    </row>
    <row r="74" spans="1:13" ht="15.75">
      <c r="A74" s="103"/>
      <c r="B74" s="103"/>
      <c r="C74" s="103"/>
      <c r="D74" s="103"/>
      <c r="E74" s="103"/>
      <c r="F74" s="103"/>
      <c r="J74" s="79"/>
      <c r="K74" s="79"/>
      <c r="L74" s="79"/>
      <c r="M74" s="79"/>
    </row>
    <row r="75" spans="1:13" ht="15.75">
      <c r="A75" s="103"/>
      <c r="B75" s="103"/>
      <c r="C75" s="103"/>
      <c r="D75" s="103"/>
      <c r="E75" s="103"/>
      <c r="F75" s="103"/>
      <c r="J75" s="79"/>
      <c r="K75" s="79"/>
      <c r="L75" s="79"/>
      <c r="M75" s="79"/>
    </row>
    <row r="76" spans="1:13" ht="15.75">
      <c r="A76" s="103"/>
      <c r="B76" s="103"/>
      <c r="C76" s="103"/>
      <c r="D76" s="103"/>
      <c r="E76" s="103"/>
      <c r="F76" s="103"/>
      <c r="J76" s="80"/>
      <c r="K76" s="80"/>
      <c r="L76" s="80"/>
      <c r="M76" s="80"/>
    </row>
    <row r="77" spans="1:13" ht="15.75">
      <c r="A77" s="103"/>
      <c r="B77" s="103"/>
      <c r="C77" s="103"/>
      <c r="D77" s="103"/>
      <c r="E77" s="103"/>
      <c r="F77" s="103"/>
      <c r="J77" s="81"/>
      <c r="K77" s="81"/>
      <c r="L77" s="81"/>
      <c r="M77" s="81"/>
    </row>
    <row r="78" spans="1:13" ht="15.75">
      <c r="A78" s="103"/>
      <c r="B78" s="103"/>
      <c r="C78" s="103"/>
      <c r="D78" s="103"/>
      <c r="E78" s="103"/>
      <c r="F78" s="103"/>
    </row>
    <row r="79" spans="1:13" ht="15.75">
      <c r="A79" s="103"/>
      <c r="B79" s="103"/>
      <c r="C79" s="103"/>
      <c r="D79" s="103"/>
      <c r="E79" s="103"/>
      <c r="F79" s="103"/>
    </row>
    <row r="80" spans="1:13" ht="15.75">
      <c r="A80" s="103"/>
      <c r="B80" s="103"/>
      <c r="C80" s="103"/>
      <c r="D80" s="103"/>
      <c r="E80" s="103"/>
      <c r="F80" s="103"/>
    </row>
    <row r="81" spans="1:6" ht="15.75">
      <c r="A81" s="103"/>
      <c r="B81" s="103"/>
      <c r="C81" s="103"/>
      <c r="D81" s="103"/>
      <c r="E81" s="103"/>
      <c r="F81" s="103"/>
    </row>
    <row r="82" spans="1:6" ht="15.75">
      <c r="A82" s="103"/>
      <c r="B82" s="103"/>
      <c r="C82" s="103"/>
      <c r="D82" s="103"/>
      <c r="E82" s="103"/>
      <c r="F82" s="103"/>
    </row>
    <row r="83" spans="1:6" ht="15.75">
      <c r="A83" s="103"/>
      <c r="B83" s="103"/>
      <c r="C83" s="103"/>
      <c r="D83" s="103"/>
      <c r="E83" s="103"/>
      <c r="F83" s="103"/>
    </row>
    <row r="84" spans="1:6" ht="15.75">
      <c r="A84" s="103"/>
      <c r="B84" s="103"/>
      <c r="C84" s="103"/>
      <c r="D84" s="103"/>
      <c r="E84" s="103"/>
      <c r="F84" s="103"/>
    </row>
    <row r="85" spans="1:6" ht="15.75">
      <c r="A85" s="103"/>
      <c r="B85" s="103"/>
      <c r="C85" s="103"/>
      <c r="D85" s="103"/>
      <c r="E85" s="103"/>
      <c r="F85" s="103"/>
    </row>
    <row r="86" spans="1:6" ht="15.75">
      <c r="A86" s="103"/>
      <c r="B86" s="103"/>
      <c r="C86" s="103"/>
      <c r="D86" s="103"/>
      <c r="E86" s="103"/>
      <c r="F86" s="103"/>
    </row>
    <row r="87" spans="1:6" ht="15.75">
      <c r="A87" s="103"/>
      <c r="B87" s="103"/>
      <c r="C87" s="103"/>
      <c r="D87" s="103"/>
      <c r="E87" s="103"/>
      <c r="F87" s="103"/>
    </row>
    <row r="88" spans="1:6" ht="15.75">
      <c r="A88" s="103"/>
      <c r="B88" s="103"/>
      <c r="C88" s="103"/>
      <c r="D88" s="103"/>
      <c r="E88" s="103"/>
      <c r="F88" s="103"/>
    </row>
    <row r="89" spans="1:6" ht="15.75">
      <c r="A89" s="103"/>
      <c r="B89" s="103"/>
      <c r="C89" s="103"/>
      <c r="D89" s="103"/>
      <c r="E89" s="103"/>
      <c r="F89" s="103"/>
    </row>
    <row r="90" spans="1:6" ht="15.75">
      <c r="A90" s="103"/>
      <c r="B90" s="103"/>
      <c r="C90" s="103"/>
      <c r="D90" s="103"/>
      <c r="E90" s="103"/>
      <c r="F90" s="103"/>
    </row>
    <row r="91" spans="1:6" ht="15.75">
      <c r="A91" s="103"/>
      <c r="B91" s="103"/>
      <c r="C91" s="103"/>
      <c r="D91" s="103"/>
      <c r="E91" s="103"/>
      <c r="F91" s="103"/>
    </row>
    <row r="92" spans="1:6" ht="15.75">
      <c r="A92" s="103"/>
      <c r="B92" s="103"/>
      <c r="C92" s="103"/>
      <c r="D92" s="103"/>
      <c r="E92" s="103"/>
      <c r="F92" s="103"/>
    </row>
    <row r="93" spans="1:6" ht="15.75">
      <c r="A93" s="103"/>
      <c r="B93" s="103"/>
      <c r="C93" s="103"/>
      <c r="D93" s="103"/>
      <c r="E93" s="103"/>
      <c r="F93" s="103"/>
    </row>
    <row r="94" spans="1:6" ht="15.75">
      <c r="A94" s="103"/>
      <c r="B94" s="103"/>
      <c r="C94" s="103"/>
      <c r="D94" s="103"/>
      <c r="E94" s="103"/>
      <c r="F94" s="103"/>
    </row>
    <row r="95" spans="1:6" ht="15.75">
      <c r="A95" s="103"/>
      <c r="B95" s="103"/>
      <c r="C95" s="103"/>
      <c r="D95" s="103"/>
      <c r="E95" s="103"/>
      <c r="F95" s="103"/>
    </row>
    <row r="96" spans="1:6" ht="15.75">
      <c r="A96" s="103"/>
      <c r="B96" s="103"/>
      <c r="C96" s="103"/>
      <c r="D96" s="103"/>
      <c r="E96" s="103"/>
      <c r="F96" s="103"/>
    </row>
    <row r="97" spans="1:6" ht="15.75">
      <c r="A97" s="103"/>
      <c r="B97" s="103"/>
      <c r="C97" s="103"/>
      <c r="D97" s="103"/>
      <c r="E97" s="103"/>
      <c r="F97" s="103"/>
    </row>
    <row r="98" spans="1:6" ht="15.75">
      <c r="A98" s="103"/>
      <c r="B98" s="103"/>
      <c r="C98" s="103"/>
      <c r="D98" s="103"/>
      <c r="E98" s="103"/>
      <c r="F98" s="103"/>
    </row>
    <row r="99" spans="1:6" ht="15.75">
      <c r="A99" s="103"/>
      <c r="B99" s="103"/>
      <c r="C99" s="103"/>
      <c r="D99" s="103"/>
      <c r="E99" s="103"/>
      <c r="F99" s="103"/>
    </row>
    <row r="100" spans="1:6" ht="15.75">
      <c r="A100" s="103"/>
      <c r="B100" s="103"/>
      <c r="C100" s="103"/>
      <c r="D100" s="103"/>
      <c r="E100" s="103"/>
      <c r="F100" s="103"/>
    </row>
    <row r="101" spans="1:6" ht="15.75">
      <c r="A101" s="103"/>
      <c r="B101" s="103"/>
      <c r="C101" s="103"/>
      <c r="D101" s="103"/>
      <c r="E101" s="103"/>
      <c r="F101" s="103"/>
    </row>
    <row r="102" spans="1:6" ht="15.75">
      <c r="A102" s="103"/>
      <c r="B102" s="103"/>
      <c r="C102" s="103"/>
      <c r="D102" s="103"/>
      <c r="E102" s="103"/>
      <c r="F102" s="103"/>
    </row>
    <row r="103" spans="1:6" ht="15.75">
      <c r="A103" s="103"/>
      <c r="B103" s="103"/>
      <c r="C103" s="103"/>
      <c r="D103" s="103"/>
      <c r="E103" s="103"/>
      <c r="F103" s="103"/>
    </row>
    <row r="104" spans="1:6" ht="15.75">
      <c r="A104" s="103"/>
      <c r="B104" s="103"/>
      <c r="C104" s="103"/>
      <c r="D104" s="103"/>
      <c r="E104" s="103"/>
      <c r="F104" s="103"/>
    </row>
    <row r="105" spans="1:6" ht="15.75">
      <c r="A105" s="103"/>
      <c r="B105" s="103"/>
      <c r="C105" s="103"/>
      <c r="D105" s="103"/>
      <c r="E105" s="103"/>
      <c r="F105" s="103"/>
    </row>
    <row r="106" spans="1:6" ht="15.75">
      <c r="A106" s="103"/>
      <c r="B106" s="103"/>
      <c r="C106" s="103"/>
      <c r="D106" s="103"/>
      <c r="E106" s="103"/>
      <c r="F106" s="103"/>
    </row>
    <row r="107" spans="1:6" ht="15.75">
      <c r="A107" s="103"/>
      <c r="B107" s="103"/>
      <c r="C107" s="103"/>
      <c r="D107" s="103"/>
      <c r="E107" s="103"/>
      <c r="F107" s="103"/>
    </row>
    <row r="108" spans="1:6" ht="15.75">
      <c r="A108" s="103"/>
      <c r="B108" s="103"/>
      <c r="C108" s="103"/>
      <c r="D108" s="103"/>
      <c r="E108" s="103"/>
      <c r="F108" s="103"/>
    </row>
    <row r="109" spans="1:6" ht="15.75">
      <c r="A109" s="103"/>
      <c r="B109" s="103"/>
      <c r="C109" s="103"/>
      <c r="D109" s="103"/>
      <c r="E109" s="103"/>
      <c r="F109" s="103"/>
    </row>
    <row r="110" spans="1:6" ht="15.75">
      <c r="A110" s="103"/>
      <c r="B110" s="103"/>
      <c r="C110" s="103"/>
      <c r="D110" s="103"/>
      <c r="E110" s="103"/>
      <c r="F110" s="103"/>
    </row>
    <row r="111" spans="1:6" ht="15.75">
      <c r="A111" s="103"/>
      <c r="B111" s="103"/>
      <c r="C111" s="103"/>
      <c r="D111" s="103"/>
      <c r="E111" s="103"/>
      <c r="F111" s="103"/>
    </row>
    <row r="112" spans="1:6" ht="15.75">
      <c r="A112" s="103"/>
      <c r="B112" s="103"/>
      <c r="C112" s="103"/>
      <c r="D112" s="103"/>
      <c r="E112" s="103"/>
      <c r="F112" s="103"/>
    </row>
    <row r="113" spans="1:6" ht="5.25" customHeight="1">
      <c r="A113" s="103"/>
      <c r="B113" s="103"/>
      <c r="C113" s="103"/>
      <c r="D113" s="103"/>
      <c r="E113" s="103"/>
      <c r="F113" s="103"/>
    </row>
    <row r="114" spans="1:6" ht="15.75">
      <c r="A114" s="103"/>
      <c r="B114" s="103"/>
      <c r="C114" s="103"/>
      <c r="D114" s="103"/>
      <c r="E114" s="103"/>
      <c r="F114" s="103"/>
    </row>
    <row r="115" spans="1:6" ht="15.75">
      <c r="A115" s="103"/>
      <c r="B115" s="103"/>
      <c r="C115" s="103"/>
      <c r="D115" s="103"/>
      <c r="E115" s="103"/>
      <c r="F115" s="103"/>
    </row>
    <row r="116" spans="1:6" ht="15.75">
      <c r="A116" s="103"/>
      <c r="B116" s="103"/>
      <c r="C116" s="103"/>
      <c r="D116" s="103"/>
      <c r="E116" s="103"/>
      <c r="F116" s="103"/>
    </row>
    <row r="117" spans="1:6" ht="15.75">
      <c r="A117" s="103"/>
      <c r="B117" s="103"/>
      <c r="C117" s="103"/>
      <c r="D117" s="103"/>
      <c r="E117" s="103"/>
      <c r="F117" s="103"/>
    </row>
    <row r="118" spans="1:6" ht="15.75">
      <c r="A118" s="103"/>
      <c r="B118" s="103"/>
      <c r="C118" s="103"/>
      <c r="D118" s="103"/>
      <c r="E118" s="103"/>
      <c r="F118" s="103"/>
    </row>
    <row r="119" spans="1:6" ht="15.75">
      <c r="A119" s="103"/>
      <c r="B119" s="103"/>
      <c r="C119" s="103"/>
      <c r="D119" s="103"/>
      <c r="E119" s="103"/>
      <c r="F119" s="103"/>
    </row>
    <row r="120" spans="1:6" ht="15.75">
      <c r="A120" s="103"/>
      <c r="B120" s="103"/>
      <c r="C120" s="103"/>
      <c r="D120" s="103"/>
      <c r="E120" s="103"/>
      <c r="F120" s="103"/>
    </row>
    <row r="121" spans="1:6" ht="15.75">
      <c r="A121" s="103"/>
      <c r="B121" s="103"/>
      <c r="C121" s="103"/>
      <c r="D121" s="103"/>
      <c r="E121" s="103"/>
      <c r="F121" s="103"/>
    </row>
    <row r="122" spans="1:6" ht="15.75">
      <c r="A122" s="103"/>
      <c r="B122" s="103"/>
      <c r="C122" s="103"/>
      <c r="D122" s="103"/>
      <c r="E122" s="103"/>
      <c r="F122" s="103"/>
    </row>
    <row r="123" spans="1:6" ht="15.75">
      <c r="A123" s="103"/>
      <c r="B123" s="103"/>
      <c r="C123" s="103"/>
      <c r="D123" s="103"/>
      <c r="E123" s="103"/>
      <c r="F123" s="103"/>
    </row>
    <row r="124" spans="1:6" ht="15.75">
      <c r="A124" s="103"/>
      <c r="B124" s="103"/>
      <c r="C124" s="103"/>
      <c r="D124" s="103"/>
      <c r="E124" s="103"/>
      <c r="F124" s="103"/>
    </row>
    <row r="125" spans="1:6" ht="15.75">
      <c r="A125" s="103"/>
      <c r="B125" s="103"/>
      <c r="C125" s="103"/>
      <c r="D125" s="103"/>
      <c r="E125" s="103"/>
      <c r="F125" s="103"/>
    </row>
    <row r="126" spans="1:6" ht="15.75">
      <c r="A126" s="103"/>
      <c r="B126" s="103"/>
      <c r="C126" s="103"/>
      <c r="D126" s="103"/>
      <c r="E126" s="103"/>
      <c r="F126" s="103"/>
    </row>
    <row r="127" spans="1:6" ht="15.75">
      <c r="A127" s="103"/>
      <c r="B127" s="103"/>
      <c r="C127" s="103"/>
      <c r="D127" s="103"/>
      <c r="E127" s="103"/>
      <c r="F127" s="103"/>
    </row>
    <row r="128" spans="1:6" ht="15.75">
      <c r="A128" s="103"/>
      <c r="B128" s="103"/>
      <c r="C128" s="103"/>
      <c r="D128" s="103"/>
      <c r="E128" s="103"/>
      <c r="F128" s="103"/>
    </row>
    <row r="129" spans="1:6" ht="15.75">
      <c r="A129" s="103"/>
      <c r="B129" s="103"/>
      <c r="C129" s="103"/>
      <c r="D129" s="103"/>
      <c r="E129" s="103"/>
      <c r="F129" s="103"/>
    </row>
    <row r="130" spans="1:6" ht="15.75">
      <c r="A130" s="103"/>
      <c r="B130" s="103"/>
      <c r="C130" s="103"/>
      <c r="D130" s="103"/>
      <c r="E130" s="103"/>
      <c r="F130" s="103"/>
    </row>
    <row r="131" spans="1:6" ht="15.75">
      <c r="A131" s="103"/>
      <c r="B131" s="103"/>
      <c r="C131" s="103"/>
      <c r="D131" s="103"/>
      <c r="E131" s="103"/>
      <c r="F131" s="103"/>
    </row>
    <row r="132" spans="1:6" ht="15.75">
      <c r="A132" s="103"/>
      <c r="B132" s="103"/>
      <c r="C132" s="103"/>
      <c r="D132" s="103"/>
      <c r="E132" s="103"/>
      <c r="F132" s="103"/>
    </row>
    <row r="133" spans="1:6" ht="15.75">
      <c r="A133" s="103"/>
      <c r="B133" s="103"/>
      <c r="C133" s="103"/>
      <c r="D133" s="103"/>
      <c r="E133" s="103"/>
      <c r="F133" s="103"/>
    </row>
    <row r="134" spans="1:6" ht="15.75">
      <c r="A134" s="103"/>
      <c r="B134" s="103"/>
      <c r="C134" s="103"/>
      <c r="D134" s="103"/>
      <c r="E134" s="103"/>
      <c r="F134" s="103"/>
    </row>
    <row r="135" spans="1:6" ht="15.75">
      <c r="A135" s="103"/>
      <c r="B135" s="103"/>
      <c r="C135" s="103"/>
      <c r="D135" s="103"/>
      <c r="E135" s="103"/>
      <c r="F135" s="103"/>
    </row>
    <row r="136" spans="1:6" ht="15.75">
      <c r="A136" s="103"/>
      <c r="B136" s="103"/>
      <c r="C136" s="103"/>
      <c r="D136" s="103"/>
      <c r="E136" s="103"/>
      <c r="F136" s="103"/>
    </row>
    <row r="137" spans="1:6" ht="15.75">
      <c r="A137" s="103"/>
      <c r="B137" s="103"/>
      <c r="C137" s="103"/>
      <c r="D137" s="103"/>
      <c r="E137" s="103"/>
      <c r="F137" s="103"/>
    </row>
    <row r="138" spans="1:6" ht="15.75">
      <c r="A138" s="103"/>
      <c r="B138" s="103"/>
      <c r="C138" s="103"/>
      <c r="D138" s="103"/>
      <c r="E138" s="103"/>
      <c r="F138" s="103"/>
    </row>
    <row r="139" spans="1:6" ht="15.75">
      <c r="A139" s="103"/>
      <c r="B139" s="103"/>
      <c r="C139" s="103"/>
      <c r="D139" s="103"/>
      <c r="E139" s="103"/>
      <c r="F139" s="103"/>
    </row>
    <row r="140" spans="1:6" ht="15.75">
      <c r="A140" s="103"/>
      <c r="B140" s="103"/>
      <c r="C140" s="103"/>
      <c r="D140" s="103"/>
      <c r="E140" s="103"/>
      <c r="F140" s="103"/>
    </row>
    <row r="141" spans="1:6" ht="15.75">
      <c r="A141" s="103"/>
      <c r="B141" s="103"/>
      <c r="C141" s="103"/>
      <c r="D141" s="103"/>
      <c r="E141" s="103"/>
      <c r="F141" s="103"/>
    </row>
    <row r="142" spans="1:6" ht="15.75">
      <c r="A142" s="103"/>
      <c r="B142" s="103"/>
      <c r="C142" s="103"/>
      <c r="D142" s="103"/>
      <c r="E142" s="103"/>
      <c r="F142" s="103"/>
    </row>
    <row r="143" spans="1:6" ht="15.75">
      <c r="A143" s="103"/>
      <c r="B143" s="103"/>
      <c r="C143" s="103"/>
      <c r="D143" s="103"/>
      <c r="E143" s="103"/>
      <c r="F143" s="103"/>
    </row>
    <row r="144" spans="1:6" ht="15.75">
      <c r="A144" s="103"/>
      <c r="B144" s="103"/>
      <c r="C144" s="103"/>
      <c r="D144" s="103"/>
      <c r="E144" s="103"/>
      <c r="F144" s="103"/>
    </row>
    <row r="145" spans="1:6" ht="15.75">
      <c r="A145" s="103"/>
      <c r="B145" s="103"/>
      <c r="C145" s="103"/>
      <c r="D145" s="103"/>
      <c r="E145" s="103"/>
      <c r="F145" s="103"/>
    </row>
    <row r="146" spans="1:6" ht="15.75">
      <c r="A146" s="103"/>
      <c r="B146" s="103"/>
      <c r="C146" s="103"/>
      <c r="D146" s="103"/>
      <c r="E146" s="103"/>
      <c r="F146" s="103"/>
    </row>
    <row r="147" spans="1:6" ht="15.75">
      <c r="A147" s="103"/>
      <c r="B147" s="103"/>
      <c r="C147" s="103"/>
      <c r="D147" s="103"/>
      <c r="E147" s="103"/>
      <c r="F147" s="103"/>
    </row>
    <row r="148" spans="1:6" ht="15.75">
      <c r="A148" s="103"/>
      <c r="B148" s="103"/>
      <c r="C148" s="103"/>
      <c r="D148" s="103"/>
      <c r="E148" s="103"/>
      <c r="F148" s="103"/>
    </row>
    <row r="149" spans="1:6" ht="15.75">
      <c r="A149" s="103"/>
      <c r="B149" s="103"/>
      <c r="C149" s="103"/>
      <c r="D149" s="103"/>
      <c r="E149" s="103"/>
      <c r="F149" s="103"/>
    </row>
    <row r="150" spans="1:6" ht="15.75">
      <c r="A150" s="103"/>
      <c r="B150" s="103"/>
      <c r="C150" s="103"/>
      <c r="D150" s="103"/>
      <c r="E150" s="103"/>
      <c r="F150" s="103"/>
    </row>
    <row r="151" spans="1:6" ht="15.75">
      <c r="A151" s="103"/>
      <c r="B151" s="103"/>
      <c r="C151" s="103"/>
      <c r="D151" s="103"/>
      <c r="E151" s="103"/>
      <c r="F151" s="103"/>
    </row>
    <row r="152" spans="1:6" ht="15.75">
      <c r="A152" s="103"/>
      <c r="B152" s="103"/>
      <c r="C152" s="103"/>
      <c r="D152" s="103"/>
      <c r="E152" s="103"/>
      <c r="F152" s="103"/>
    </row>
    <row r="153" spans="1:6" ht="15.75">
      <c r="A153" s="103"/>
      <c r="B153" s="103"/>
      <c r="C153" s="103"/>
      <c r="D153" s="103"/>
      <c r="E153" s="103"/>
      <c r="F153" s="103"/>
    </row>
    <row r="154" spans="1:6" ht="15.75">
      <c r="A154" s="103"/>
      <c r="B154" s="103"/>
      <c r="C154" s="103"/>
      <c r="D154" s="103"/>
      <c r="E154" s="103"/>
      <c r="F154" s="103"/>
    </row>
    <row r="155" spans="1:6" ht="15.75">
      <c r="A155" s="103"/>
      <c r="B155" s="103"/>
      <c r="C155" s="103"/>
      <c r="D155" s="103"/>
      <c r="E155" s="103"/>
      <c r="F155" s="103"/>
    </row>
    <row r="156" spans="1:6" ht="15.75">
      <c r="A156" s="103"/>
      <c r="B156" s="103"/>
      <c r="C156" s="103"/>
      <c r="D156" s="103"/>
      <c r="E156" s="103"/>
      <c r="F156" s="103"/>
    </row>
    <row r="157" spans="1:6" ht="15.75">
      <c r="A157" s="103"/>
      <c r="B157" s="103"/>
      <c r="C157" s="103"/>
      <c r="D157" s="103"/>
      <c r="E157" s="103"/>
      <c r="F157" s="103"/>
    </row>
    <row r="158" spans="1:6" ht="15.75">
      <c r="A158" s="103"/>
      <c r="B158" s="103"/>
      <c r="C158" s="103"/>
      <c r="D158" s="103"/>
      <c r="E158" s="103"/>
      <c r="F158" s="103"/>
    </row>
    <row r="159" spans="1:6" ht="15.75">
      <c r="A159" s="103"/>
      <c r="B159" s="103"/>
      <c r="C159" s="103"/>
      <c r="D159" s="103"/>
      <c r="E159" s="103"/>
      <c r="F159" s="103"/>
    </row>
    <row r="160" spans="1:6" ht="15.75">
      <c r="A160" s="103"/>
      <c r="B160" s="103"/>
      <c r="C160" s="103"/>
      <c r="D160" s="103"/>
      <c r="E160" s="103"/>
      <c r="F160" s="103"/>
    </row>
    <row r="161" spans="1:6" ht="15.75">
      <c r="A161" s="103"/>
      <c r="B161" s="103"/>
      <c r="C161" s="103"/>
      <c r="D161" s="103"/>
      <c r="E161" s="103"/>
      <c r="F161" s="103"/>
    </row>
    <row r="162" spans="1:6" ht="15.75">
      <c r="A162" s="103"/>
      <c r="B162" s="103"/>
      <c r="C162" s="103"/>
      <c r="D162" s="103"/>
      <c r="E162" s="103"/>
      <c r="F162" s="103"/>
    </row>
    <row r="163" spans="1:6" ht="15.75">
      <c r="A163" s="103"/>
      <c r="B163" s="103"/>
      <c r="C163" s="103"/>
      <c r="D163" s="103"/>
      <c r="E163" s="103"/>
      <c r="F163" s="103"/>
    </row>
    <row r="164" spans="1:6" ht="15.75">
      <c r="A164" s="103"/>
      <c r="B164" s="103"/>
      <c r="C164" s="103"/>
      <c r="D164" s="103"/>
      <c r="E164" s="103"/>
      <c r="F164" s="103"/>
    </row>
    <row r="165" spans="1:6" ht="15.75">
      <c r="A165" s="103"/>
      <c r="B165" s="103"/>
      <c r="C165" s="103"/>
      <c r="D165" s="103"/>
      <c r="E165" s="103"/>
      <c r="F165" s="103"/>
    </row>
    <row r="166" spans="1:6" ht="15.75">
      <c r="A166" s="103"/>
      <c r="B166" s="103"/>
      <c r="C166" s="103"/>
      <c r="D166" s="103"/>
      <c r="E166" s="103"/>
      <c r="F166" s="103"/>
    </row>
    <row r="167" spans="1:6" ht="15.75">
      <c r="A167" s="103"/>
      <c r="B167" s="103"/>
      <c r="C167" s="103"/>
      <c r="D167" s="103"/>
      <c r="E167" s="103"/>
      <c r="F167" s="103"/>
    </row>
    <row r="168" spans="1:6" ht="15.75">
      <c r="A168" s="103"/>
      <c r="B168" s="103"/>
      <c r="C168" s="103"/>
      <c r="D168" s="103"/>
      <c r="E168" s="103"/>
      <c r="F168" s="103"/>
    </row>
    <row r="169" spans="1:6" ht="15.75">
      <c r="A169" s="103"/>
      <c r="B169" s="103"/>
      <c r="C169" s="103"/>
      <c r="D169" s="103"/>
      <c r="E169" s="103"/>
      <c r="F169" s="103"/>
    </row>
    <row r="170" spans="1:6" ht="15.75">
      <c r="A170" s="103"/>
      <c r="B170" s="103"/>
      <c r="C170" s="103"/>
      <c r="D170" s="103"/>
      <c r="E170" s="103"/>
      <c r="F170" s="103"/>
    </row>
    <row r="171" spans="1:6" ht="15.75">
      <c r="A171" s="103"/>
      <c r="B171" s="103"/>
      <c r="C171" s="103"/>
      <c r="D171" s="103"/>
      <c r="E171" s="103"/>
      <c r="F171" s="103"/>
    </row>
    <row r="172" spans="1:6" ht="15.75">
      <c r="A172" s="103"/>
      <c r="B172" s="103"/>
      <c r="C172" s="103"/>
      <c r="D172" s="103"/>
      <c r="E172" s="103"/>
      <c r="F172" s="103"/>
    </row>
    <row r="173" spans="1:6" ht="15.75">
      <c r="A173" s="103"/>
      <c r="B173" s="103"/>
      <c r="C173" s="103"/>
      <c r="D173" s="103"/>
      <c r="E173" s="103"/>
      <c r="F173" s="103"/>
    </row>
    <row r="174" spans="1:6" ht="15.75">
      <c r="A174" s="103"/>
      <c r="B174" s="103"/>
      <c r="C174" s="103"/>
      <c r="D174" s="103"/>
      <c r="E174" s="103"/>
      <c r="F174" s="103"/>
    </row>
    <row r="175" spans="1:6" ht="15.75">
      <c r="A175" s="103"/>
      <c r="B175" s="103"/>
      <c r="C175" s="103"/>
      <c r="D175" s="103"/>
      <c r="E175" s="103"/>
      <c r="F175" s="103"/>
    </row>
    <row r="176" spans="1:6" ht="15.75">
      <c r="A176" s="103"/>
      <c r="B176" s="103"/>
      <c r="C176" s="103"/>
      <c r="D176" s="103"/>
      <c r="E176" s="103"/>
      <c r="F176" s="103"/>
    </row>
    <row r="177" spans="1:6" ht="15.75">
      <c r="A177" s="103"/>
      <c r="B177" s="103"/>
      <c r="C177" s="103"/>
      <c r="D177" s="103"/>
      <c r="E177" s="103"/>
      <c r="F177" s="103"/>
    </row>
    <row r="178" spans="1:6" ht="15.75">
      <c r="A178" s="103"/>
      <c r="B178" s="103"/>
      <c r="C178" s="103"/>
      <c r="D178" s="103"/>
      <c r="E178" s="103"/>
      <c r="F178" s="103"/>
    </row>
    <row r="179" spans="1:6" ht="15.75">
      <c r="A179" s="103"/>
      <c r="B179" s="103"/>
      <c r="C179" s="103"/>
      <c r="D179" s="103"/>
      <c r="E179" s="103"/>
      <c r="F179" s="103"/>
    </row>
    <row r="180" spans="1:6" ht="15.75">
      <c r="A180" s="103"/>
      <c r="B180" s="103"/>
      <c r="C180" s="103"/>
      <c r="D180" s="103"/>
      <c r="E180" s="103"/>
      <c r="F180" s="103"/>
    </row>
    <row r="181" spans="1:6" ht="15.75">
      <c r="A181" s="103"/>
      <c r="B181" s="103"/>
      <c r="C181" s="103"/>
      <c r="D181" s="103"/>
      <c r="E181" s="103"/>
      <c r="F181" s="103"/>
    </row>
    <row r="182" spans="1:6" ht="15.75">
      <c r="A182" s="103"/>
      <c r="B182" s="103"/>
      <c r="C182" s="103"/>
      <c r="D182" s="103"/>
      <c r="E182" s="103"/>
      <c r="F182" s="103"/>
    </row>
    <row r="183" spans="1:6" ht="15.75">
      <c r="A183" s="103"/>
      <c r="B183" s="103"/>
      <c r="C183" s="103"/>
      <c r="D183" s="103"/>
      <c r="E183" s="103"/>
      <c r="F183" s="103"/>
    </row>
    <row r="184" spans="1:6" ht="15.75">
      <c r="A184" s="103"/>
      <c r="B184" s="103"/>
      <c r="C184" s="103"/>
      <c r="D184" s="103"/>
      <c r="E184" s="103"/>
      <c r="F184" s="103"/>
    </row>
    <row r="185" spans="1:6" ht="15.75">
      <c r="A185" s="103"/>
      <c r="B185" s="103"/>
      <c r="C185" s="103"/>
      <c r="D185" s="103"/>
      <c r="E185" s="103"/>
      <c r="F185" s="103"/>
    </row>
    <row r="186" spans="1:6" ht="15.75">
      <c r="A186" s="103"/>
      <c r="B186" s="103"/>
      <c r="C186" s="103"/>
      <c r="D186" s="103"/>
      <c r="E186" s="103"/>
      <c r="F186" s="103"/>
    </row>
    <row r="187" spans="1:6" ht="15.75">
      <c r="A187" s="103"/>
      <c r="B187" s="103"/>
      <c r="C187" s="103"/>
      <c r="D187" s="103"/>
      <c r="E187" s="103"/>
      <c r="F187" s="103"/>
    </row>
    <row r="188" spans="1:6" ht="15.75">
      <c r="A188" s="103"/>
      <c r="B188" s="103"/>
      <c r="C188" s="103"/>
      <c r="D188" s="103"/>
      <c r="E188" s="103"/>
      <c r="F188" s="103"/>
    </row>
    <row r="189" spans="1:6" ht="15.75">
      <c r="A189" s="103"/>
      <c r="B189" s="103"/>
      <c r="C189" s="103"/>
      <c r="D189" s="103"/>
      <c r="E189" s="103"/>
      <c r="F189" s="103"/>
    </row>
    <row r="190" spans="1:6" ht="15.75">
      <c r="A190" s="103"/>
      <c r="B190" s="103"/>
      <c r="C190" s="103"/>
      <c r="D190" s="103"/>
      <c r="E190" s="103"/>
      <c r="F190" s="103"/>
    </row>
    <row r="191" spans="1:6" ht="15.75">
      <c r="A191" s="103"/>
      <c r="B191" s="103"/>
      <c r="C191" s="103"/>
      <c r="D191" s="103"/>
      <c r="E191" s="103"/>
      <c r="F191" s="103"/>
    </row>
    <row r="192" spans="1:6" ht="15.75">
      <c r="A192" s="103"/>
      <c r="B192" s="103"/>
      <c r="C192" s="103"/>
      <c r="D192" s="103"/>
      <c r="E192" s="103"/>
      <c r="F192" s="103"/>
    </row>
    <row r="193" spans="1:6" ht="15.75">
      <c r="A193" s="103"/>
      <c r="B193" s="103"/>
      <c r="C193" s="103"/>
      <c r="D193" s="103"/>
      <c r="E193" s="103"/>
      <c r="F193" s="103"/>
    </row>
    <row r="194" spans="1:6" ht="15.75">
      <c r="A194" s="103"/>
      <c r="B194" s="103"/>
      <c r="C194" s="103"/>
      <c r="D194" s="103"/>
      <c r="E194" s="103"/>
      <c r="F194" s="103"/>
    </row>
    <row r="195" spans="1:6" ht="15.75">
      <c r="A195" s="103"/>
      <c r="B195" s="103"/>
      <c r="C195" s="103"/>
      <c r="D195" s="103"/>
      <c r="E195" s="103"/>
      <c r="F195" s="103"/>
    </row>
    <row r="196" spans="1:6" ht="15.75">
      <c r="A196" s="103"/>
      <c r="B196" s="103"/>
      <c r="C196" s="103"/>
      <c r="D196" s="103"/>
      <c r="E196" s="103"/>
      <c r="F196" s="103"/>
    </row>
    <row r="197" spans="1:6" ht="15.75">
      <c r="A197" s="103"/>
      <c r="B197" s="103"/>
      <c r="C197" s="103"/>
      <c r="D197" s="103"/>
      <c r="E197" s="103"/>
      <c r="F197" s="103"/>
    </row>
    <row r="198" spans="1:6" ht="15.75">
      <c r="A198" s="103"/>
      <c r="B198" s="103"/>
      <c r="C198" s="103"/>
      <c r="D198" s="103"/>
      <c r="E198" s="103"/>
      <c r="F198" s="103"/>
    </row>
    <row r="199" spans="1:6" ht="15.75">
      <c r="A199" s="103"/>
      <c r="B199" s="103"/>
      <c r="C199" s="103"/>
      <c r="D199" s="103"/>
      <c r="E199" s="103"/>
      <c r="F199" s="103"/>
    </row>
    <row r="200" spans="1:6" ht="15.75">
      <c r="A200" s="103"/>
      <c r="B200" s="103"/>
      <c r="C200" s="103"/>
      <c r="D200" s="103"/>
      <c r="E200" s="103"/>
      <c r="F200" s="103"/>
    </row>
    <row r="201" spans="1:6" ht="15.75">
      <c r="A201" s="103"/>
      <c r="B201" s="103"/>
      <c r="C201" s="103"/>
      <c r="D201" s="103"/>
      <c r="E201" s="103"/>
      <c r="F201" s="103"/>
    </row>
    <row r="202" spans="1:6" ht="15.75">
      <c r="A202" s="103"/>
      <c r="B202" s="103"/>
      <c r="C202" s="103"/>
      <c r="D202" s="103"/>
      <c r="E202" s="103"/>
      <c r="F202" s="103"/>
    </row>
    <row r="203" spans="1:6" ht="15.75">
      <c r="A203" s="103"/>
      <c r="B203" s="103"/>
      <c r="C203" s="103"/>
      <c r="D203" s="103"/>
      <c r="E203" s="103"/>
      <c r="F203" s="103"/>
    </row>
    <row r="204" spans="1:6" ht="15.75">
      <c r="A204" s="103"/>
      <c r="B204" s="103"/>
      <c r="C204" s="103"/>
      <c r="D204" s="103"/>
      <c r="E204" s="103"/>
      <c r="F204" s="103"/>
    </row>
    <row r="205" spans="1:6" ht="15.75">
      <c r="A205" s="103"/>
      <c r="B205" s="103"/>
      <c r="C205" s="103"/>
      <c r="D205" s="103"/>
      <c r="E205" s="103"/>
      <c r="F205" s="103"/>
    </row>
    <row r="206" spans="1:6" ht="15.75">
      <c r="A206" s="103"/>
      <c r="B206" s="103"/>
      <c r="C206" s="103"/>
      <c r="D206" s="103"/>
      <c r="E206" s="103"/>
      <c r="F206" s="103"/>
    </row>
    <row r="207" spans="1:6" ht="15.75">
      <c r="A207" s="103"/>
      <c r="B207" s="103"/>
      <c r="C207" s="103"/>
      <c r="D207" s="103"/>
      <c r="E207" s="103"/>
      <c r="F207" s="103"/>
    </row>
    <row r="208" spans="1:6" ht="15.75">
      <c r="A208" s="103"/>
      <c r="B208" s="103"/>
      <c r="C208" s="103"/>
      <c r="D208" s="103"/>
      <c r="E208" s="103"/>
      <c r="F208" s="103"/>
    </row>
    <row r="209" spans="1:6" ht="15.75">
      <c r="A209" s="103"/>
      <c r="B209" s="103"/>
      <c r="C209" s="103"/>
      <c r="D209" s="103"/>
      <c r="E209" s="103"/>
      <c r="F209" s="103"/>
    </row>
    <row r="210" spans="1:6" ht="15.75">
      <c r="A210" s="103"/>
      <c r="B210" s="103"/>
      <c r="C210" s="103"/>
      <c r="D210" s="103"/>
      <c r="E210" s="103"/>
      <c r="F210" s="103"/>
    </row>
    <row r="211" spans="1:6" ht="15.75">
      <c r="A211" s="103"/>
      <c r="B211" s="103"/>
      <c r="C211" s="103"/>
      <c r="D211" s="103"/>
      <c r="E211" s="103"/>
      <c r="F211" s="103"/>
    </row>
    <row r="212" spans="1:6" ht="15.75">
      <c r="A212" s="103"/>
      <c r="B212" s="103"/>
      <c r="C212" s="103"/>
      <c r="D212" s="103"/>
      <c r="E212" s="103"/>
      <c r="F212" s="103"/>
    </row>
    <row r="213" spans="1:6" ht="15.75">
      <c r="A213" s="103"/>
      <c r="B213" s="103"/>
      <c r="C213" s="103"/>
      <c r="D213" s="103"/>
      <c r="E213" s="103"/>
      <c r="F213" s="103"/>
    </row>
    <row r="214" spans="1:6" ht="15.75">
      <c r="A214" s="103"/>
      <c r="B214" s="103"/>
      <c r="C214" s="103"/>
      <c r="D214" s="103"/>
      <c r="E214" s="103"/>
      <c r="F214" s="103"/>
    </row>
    <row r="215" spans="1:6" ht="15.75">
      <c r="A215" s="103"/>
      <c r="B215" s="103"/>
      <c r="C215" s="103"/>
      <c r="D215" s="103"/>
      <c r="E215" s="103"/>
      <c r="F215" s="103"/>
    </row>
    <row r="216" spans="1:6" ht="15.75">
      <c r="A216" s="103"/>
      <c r="B216" s="103"/>
      <c r="C216" s="103"/>
      <c r="D216" s="103"/>
      <c r="E216" s="103"/>
      <c r="F216" s="103"/>
    </row>
    <row r="217" spans="1:6" ht="15.75">
      <c r="A217" s="103"/>
      <c r="B217" s="103"/>
      <c r="C217" s="103"/>
      <c r="D217" s="103"/>
      <c r="E217" s="103"/>
      <c r="F217" s="103"/>
    </row>
    <row r="218" spans="1:6" ht="15.75">
      <c r="A218" s="103"/>
      <c r="B218" s="103"/>
      <c r="C218" s="103"/>
      <c r="D218" s="103"/>
      <c r="E218" s="103"/>
      <c r="F218" s="103"/>
    </row>
    <row r="219" spans="1:6" ht="15.75">
      <c r="A219" s="103"/>
      <c r="B219" s="103"/>
      <c r="C219" s="103"/>
      <c r="D219" s="103"/>
      <c r="E219" s="103"/>
      <c r="F219" s="103"/>
    </row>
    <row r="220" spans="1:6" ht="15.75">
      <c r="A220" s="103"/>
      <c r="B220" s="103"/>
      <c r="C220" s="103"/>
      <c r="D220" s="103"/>
      <c r="E220" s="103"/>
      <c r="F220" s="103"/>
    </row>
    <row r="221" spans="1:6" ht="15.75">
      <c r="A221" s="103"/>
      <c r="B221" s="103"/>
      <c r="C221" s="103"/>
      <c r="D221" s="103"/>
      <c r="E221" s="103"/>
      <c r="F221" s="103"/>
    </row>
    <row r="222" spans="1:6" ht="15.75">
      <c r="A222" s="103"/>
      <c r="B222" s="103"/>
      <c r="C222" s="103"/>
      <c r="D222" s="103"/>
      <c r="E222" s="103"/>
      <c r="F222" s="103"/>
    </row>
    <row r="223" spans="1:6" ht="15.75">
      <c r="A223" s="103"/>
      <c r="B223" s="103"/>
      <c r="C223" s="103"/>
      <c r="D223" s="103"/>
      <c r="E223" s="103"/>
      <c r="F223" s="103"/>
    </row>
    <row r="224" spans="1:6" ht="15.75">
      <c r="A224" s="103"/>
      <c r="B224" s="103"/>
      <c r="C224" s="103"/>
      <c r="D224" s="103"/>
      <c r="E224" s="103"/>
      <c r="F224" s="103"/>
    </row>
    <row r="225" spans="1:6" ht="15.75">
      <c r="A225" s="103"/>
      <c r="B225" s="103"/>
      <c r="C225" s="103"/>
      <c r="D225" s="103"/>
      <c r="E225" s="103"/>
      <c r="F225" s="103"/>
    </row>
    <row r="226" spans="1:6" ht="15.75">
      <c r="A226" s="103"/>
      <c r="B226" s="103"/>
      <c r="C226" s="103"/>
      <c r="D226" s="103"/>
      <c r="E226" s="103"/>
      <c r="F226" s="103"/>
    </row>
    <row r="227" spans="1:6" ht="15.75">
      <c r="A227" s="103"/>
      <c r="B227" s="103"/>
      <c r="C227" s="103"/>
      <c r="D227" s="103"/>
      <c r="E227" s="103"/>
      <c r="F227" s="103"/>
    </row>
    <row r="228" spans="1:6" ht="15.75">
      <c r="A228" s="103"/>
      <c r="B228" s="103"/>
      <c r="C228" s="103"/>
      <c r="D228" s="103"/>
      <c r="E228" s="103"/>
      <c r="F228" s="103"/>
    </row>
    <row r="229" spans="1:6" ht="15.75">
      <c r="A229" s="103"/>
      <c r="B229" s="103"/>
      <c r="C229" s="103"/>
      <c r="D229" s="103"/>
      <c r="E229" s="103"/>
      <c r="F229" s="103"/>
    </row>
    <row r="230" spans="1:6" ht="15.75">
      <c r="A230" s="103"/>
      <c r="B230" s="103"/>
      <c r="C230" s="103"/>
      <c r="D230" s="103"/>
      <c r="E230" s="103"/>
      <c r="F230" s="103"/>
    </row>
    <row r="231" spans="1:6" ht="15.75">
      <c r="A231" s="103"/>
      <c r="B231" s="103"/>
      <c r="C231" s="103"/>
      <c r="D231" s="103"/>
      <c r="E231" s="103"/>
      <c r="F231" s="103"/>
    </row>
    <row r="232" spans="1:6" ht="15.75">
      <c r="A232" s="103"/>
      <c r="B232" s="103"/>
      <c r="C232" s="103"/>
      <c r="D232" s="103"/>
      <c r="E232" s="103"/>
      <c r="F232" s="103"/>
    </row>
    <row r="233" spans="1:6" ht="15.75">
      <c r="A233" s="103"/>
      <c r="B233" s="103"/>
      <c r="C233" s="103"/>
      <c r="D233" s="103"/>
      <c r="E233" s="103"/>
      <c r="F233" s="103"/>
    </row>
    <row r="234" spans="1:6" ht="15.75">
      <c r="A234" s="103"/>
      <c r="B234" s="103"/>
      <c r="C234" s="103"/>
      <c r="D234" s="103"/>
      <c r="E234" s="103"/>
      <c r="F234" s="103"/>
    </row>
    <row r="235" spans="1:6" ht="15.75">
      <c r="A235" s="103"/>
      <c r="B235" s="103"/>
      <c r="C235" s="103"/>
      <c r="D235" s="103"/>
      <c r="E235" s="103"/>
      <c r="F235" s="103"/>
    </row>
    <row r="236" spans="1:6" ht="15.75">
      <c r="A236" s="103"/>
      <c r="B236" s="103"/>
      <c r="C236" s="103"/>
      <c r="D236" s="103"/>
      <c r="E236" s="103"/>
      <c r="F236" s="103"/>
    </row>
    <row r="237" spans="1:6" ht="15.75">
      <c r="A237" s="103"/>
      <c r="B237" s="103"/>
      <c r="C237" s="103"/>
      <c r="D237" s="103"/>
      <c r="E237" s="103"/>
      <c r="F237" s="103"/>
    </row>
    <row r="238" spans="1:6" ht="15.75">
      <c r="A238" s="103"/>
      <c r="B238" s="103"/>
      <c r="C238" s="103"/>
      <c r="D238" s="103"/>
      <c r="E238" s="103"/>
      <c r="F238" s="103"/>
    </row>
    <row r="239" spans="1:6" ht="15.75">
      <c r="A239" s="103"/>
      <c r="B239" s="103"/>
      <c r="C239" s="103"/>
      <c r="D239" s="103"/>
      <c r="E239" s="103"/>
      <c r="F239" s="103"/>
    </row>
    <row r="240" spans="1:6" ht="15.75">
      <c r="A240" s="103"/>
      <c r="B240" s="103"/>
      <c r="C240" s="103"/>
      <c r="D240" s="103"/>
      <c r="E240" s="103"/>
      <c r="F240" s="103"/>
    </row>
    <row r="241" spans="1:6" ht="15.75">
      <c r="A241" s="103"/>
      <c r="B241" s="103"/>
      <c r="C241" s="103"/>
      <c r="D241" s="103"/>
      <c r="E241" s="103"/>
      <c r="F241" s="103"/>
    </row>
    <row r="242" spans="1:6" ht="15.75">
      <c r="A242" s="103"/>
      <c r="B242" s="103"/>
      <c r="C242" s="103"/>
      <c r="D242" s="103"/>
      <c r="E242" s="103"/>
      <c r="F242" s="103"/>
    </row>
    <row r="243" spans="1:6" ht="15.75">
      <c r="A243" s="103"/>
      <c r="B243" s="103"/>
      <c r="C243" s="103"/>
      <c r="D243" s="103"/>
      <c r="E243" s="103"/>
      <c r="F243" s="103"/>
    </row>
    <row r="244" spans="1:6" ht="15.75">
      <c r="A244" s="103"/>
      <c r="B244" s="103"/>
      <c r="C244" s="103"/>
      <c r="D244" s="103"/>
      <c r="E244" s="103"/>
      <c r="F244" s="103"/>
    </row>
    <row r="245" spans="1:6" ht="15.75">
      <c r="A245" s="103"/>
      <c r="B245" s="103"/>
      <c r="C245" s="103"/>
      <c r="D245" s="103"/>
      <c r="E245" s="103"/>
      <c r="F245" s="103"/>
    </row>
    <row r="246" spans="1:6" ht="15.75">
      <c r="A246" s="103"/>
      <c r="B246" s="103"/>
      <c r="C246" s="103"/>
      <c r="D246" s="103"/>
      <c r="E246" s="103"/>
      <c r="F246" s="103"/>
    </row>
    <row r="247" spans="1:6" ht="15.75">
      <c r="A247" s="103"/>
      <c r="B247" s="103"/>
      <c r="C247" s="103"/>
      <c r="D247" s="103"/>
      <c r="E247" s="103"/>
      <c r="F247" s="103"/>
    </row>
    <row r="248" spans="1:6" ht="15.75">
      <c r="A248" s="103"/>
      <c r="B248" s="103"/>
      <c r="C248" s="103"/>
      <c r="D248" s="103"/>
      <c r="E248" s="103"/>
      <c r="F248" s="103"/>
    </row>
    <row r="249" spans="1:6" ht="15.75">
      <c r="A249" s="103"/>
      <c r="B249" s="103"/>
      <c r="C249" s="103"/>
      <c r="D249" s="103"/>
      <c r="E249" s="103"/>
      <c r="F249" s="103"/>
    </row>
    <row r="250" spans="1:6" ht="15.75">
      <c r="A250" s="103"/>
      <c r="B250" s="103"/>
      <c r="C250" s="103"/>
      <c r="D250" s="103"/>
      <c r="E250" s="103"/>
      <c r="F250" s="103"/>
    </row>
    <row r="251" spans="1:6" ht="15.75">
      <c r="A251" s="103"/>
      <c r="B251" s="103"/>
      <c r="C251" s="103"/>
      <c r="D251" s="103"/>
      <c r="E251" s="103"/>
      <c r="F251" s="103"/>
    </row>
    <row r="252" spans="1:6" ht="15.75">
      <c r="A252" s="103"/>
      <c r="B252" s="103"/>
      <c r="C252" s="103"/>
      <c r="D252" s="103"/>
      <c r="E252" s="103"/>
      <c r="F252" s="103"/>
    </row>
    <row r="253" spans="1:6" ht="15.75">
      <c r="A253" s="103"/>
      <c r="B253" s="103"/>
      <c r="C253" s="103"/>
      <c r="D253" s="103"/>
      <c r="E253" s="103"/>
      <c r="F253" s="103"/>
    </row>
    <row r="254" spans="1:6" ht="15.75">
      <c r="A254" s="103"/>
      <c r="B254" s="103"/>
      <c r="C254" s="103"/>
      <c r="D254" s="103"/>
      <c r="E254" s="103"/>
      <c r="F254" s="103"/>
    </row>
    <row r="255" spans="1:6" ht="15.75">
      <c r="A255" s="103"/>
      <c r="B255" s="103"/>
      <c r="C255" s="103"/>
      <c r="D255" s="103"/>
      <c r="E255" s="103"/>
      <c r="F255" s="103"/>
    </row>
    <row r="256" spans="1:6" ht="15.75">
      <c r="A256" s="103"/>
      <c r="B256" s="103"/>
      <c r="C256" s="103"/>
      <c r="D256" s="103"/>
      <c r="E256" s="103"/>
      <c r="F256" s="103"/>
    </row>
    <row r="257" spans="1:6" ht="15.75">
      <c r="A257" s="103"/>
      <c r="B257" s="103"/>
      <c r="C257" s="103"/>
      <c r="D257" s="103"/>
      <c r="E257" s="103"/>
      <c r="F257" s="103"/>
    </row>
    <row r="258" spans="1:6" ht="15.75">
      <c r="A258" s="103"/>
      <c r="B258" s="103"/>
      <c r="C258" s="103"/>
      <c r="D258" s="103"/>
      <c r="E258" s="103"/>
      <c r="F258" s="103"/>
    </row>
    <row r="259" spans="1:6" ht="15.75">
      <c r="A259" s="103"/>
      <c r="B259" s="103"/>
      <c r="C259" s="103"/>
      <c r="D259" s="103"/>
      <c r="E259" s="103"/>
      <c r="F259" s="103"/>
    </row>
    <row r="260" spans="1:6" ht="15.75">
      <c r="A260" s="103"/>
      <c r="B260" s="103"/>
      <c r="C260" s="103"/>
      <c r="D260" s="103"/>
      <c r="E260" s="103"/>
      <c r="F260" s="103"/>
    </row>
    <row r="261" spans="1:6" ht="15.75">
      <c r="A261" s="103"/>
      <c r="B261" s="103"/>
      <c r="C261" s="103"/>
      <c r="D261" s="103"/>
      <c r="E261" s="103"/>
      <c r="F261" s="103"/>
    </row>
    <row r="262" spans="1:6" ht="15.75">
      <c r="A262" s="103"/>
      <c r="B262" s="103"/>
      <c r="C262" s="103"/>
      <c r="D262" s="103"/>
      <c r="E262" s="103"/>
      <c r="F262" s="103"/>
    </row>
    <row r="263" spans="1:6" ht="15.75">
      <c r="A263" s="103"/>
      <c r="B263" s="103"/>
      <c r="C263" s="103"/>
      <c r="D263" s="103"/>
      <c r="E263" s="103"/>
      <c r="F263" s="103"/>
    </row>
    <row r="264" spans="1:6" ht="15.75">
      <c r="A264" s="103"/>
      <c r="B264" s="103"/>
      <c r="C264" s="103"/>
      <c r="D264" s="103"/>
      <c r="E264" s="103"/>
      <c r="F264" s="103"/>
    </row>
    <row r="265" spans="1:6" ht="15.75">
      <c r="A265" s="103"/>
      <c r="B265" s="103"/>
      <c r="C265" s="103"/>
      <c r="D265" s="103"/>
      <c r="E265" s="103"/>
      <c r="F265" s="103"/>
    </row>
    <row r="266" spans="1:6" ht="15.75">
      <c r="A266" s="103"/>
      <c r="B266" s="103"/>
      <c r="C266" s="103"/>
      <c r="D266" s="103"/>
      <c r="E266" s="103"/>
      <c r="F266" s="103"/>
    </row>
    <row r="267" spans="1:6" ht="15.75">
      <c r="A267" s="103"/>
      <c r="B267" s="103"/>
      <c r="C267" s="103"/>
      <c r="D267" s="103"/>
      <c r="E267" s="103"/>
      <c r="F267" s="103"/>
    </row>
    <row r="268" spans="1:6" ht="15.75">
      <c r="A268" s="103"/>
      <c r="B268" s="103"/>
      <c r="C268" s="103"/>
      <c r="D268" s="103"/>
      <c r="E268" s="103"/>
      <c r="F268" s="103"/>
    </row>
    <row r="269" spans="1:6" ht="15.75">
      <c r="A269" s="103"/>
      <c r="B269" s="103"/>
      <c r="C269" s="103"/>
      <c r="D269" s="103"/>
      <c r="E269" s="103"/>
      <c r="F269" s="103"/>
    </row>
    <row r="270" spans="1:6" ht="15.75">
      <c r="A270" s="103"/>
      <c r="B270" s="103"/>
      <c r="C270" s="103"/>
      <c r="D270" s="103"/>
      <c r="E270" s="103"/>
      <c r="F270" s="103"/>
    </row>
    <row r="271" spans="1:6" ht="15.75">
      <c r="A271" s="103"/>
      <c r="B271" s="103"/>
      <c r="C271" s="103"/>
      <c r="D271" s="103"/>
      <c r="E271" s="103"/>
      <c r="F271" s="103"/>
    </row>
    <row r="272" spans="1:6" ht="15.75">
      <c r="A272" s="103"/>
      <c r="B272" s="103"/>
      <c r="C272" s="103"/>
      <c r="D272" s="103"/>
      <c r="E272" s="103"/>
      <c r="F272" s="103"/>
    </row>
    <row r="273" spans="1:6" ht="15.75">
      <c r="A273" s="103"/>
      <c r="B273" s="103"/>
      <c r="C273" s="103"/>
      <c r="D273" s="103"/>
      <c r="E273" s="103"/>
      <c r="F273" s="103"/>
    </row>
    <row r="274" spans="1:6" ht="15.75">
      <c r="A274" s="103"/>
      <c r="B274" s="103"/>
      <c r="C274" s="103"/>
      <c r="D274" s="103"/>
      <c r="E274" s="103"/>
      <c r="F274" s="103"/>
    </row>
    <row r="275" spans="1:6" ht="15.75">
      <c r="A275" s="103"/>
      <c r="B275" s="103"/>
      <c r="C275" s="103"/>
      <c r="D275" s="103"/>
      <c r="E275" s="103"/>
      <c r="F275" s="103"/>
    </row>
    <row r="276" spans="1:6" ht="15.75">
      <c r="A276" s="103"/>
      <c r="B276" s="103"/>
      <c r="C276" s="103"/>
      <c r="D276" s="103"/>
      <c r="E276" s="103"/>
      <c r="F276" s="103"/>
    </row>
    <row r="277" spans="1:6" ht="15.75">
      <c r="A277" s="103"/>
      <c r="B277" s="103"/>
      <c r="C277" s="103"/>
      <c r="D277" s="103"/>
      <c r="E277" s="103"/>
      <c r="F277" s="103"/>
    </row>
    <row r="278" spans="1:6" ht="15.75">
      <c r="A278" s="103"/>
      <c r="B278" s="103"/>
      <c r="C278" s="103"/>
      <c r="D278" s="103"/>
      <c r="E278" s="103"/>
      <c r="F278" s="103"/>
    </row>
    <row r="279" spans="1:6" ht="15.75">
      <c r="A279" s="103"/>
      <c r="B279" s="103"/>
      <c r="C279" s="103"/>
      <c r="D279" s="103"/>
      <c r="E279" s="103"/>
      <c r="F279" s="103"/>
    </row>
    <row r="280" spans="1:6" ht="15.75">
      <c r="A280" s="103"/>
      <c r="B280" s="103"/>
      <c r="C280" s="103"/>
      <c r="D280" s="103"/>
      <c r="E280" s="103"/>
      <c r="F280" s="103"/>
    </row>
    <row r="281" spans="1:6" ht="15.75">
      <c r="A281" s="103"/>
      <c r="B281" s="103"/>
      <c r="C281" s="103"/>
      <c r="D281" s="103"/>
      <c r="E281" s="103"/>
      <c r="F281" s="103"/>
    </row>
    <row r="282" spans="1:6" ht="15.75">
      <c r="A282" s="103"/>
      <c r="B282" s="103"/>
      <c r="C282" s="103"/>
      <c r="D282" s="103"/>
      <c r="E282" s="103"/>
      <c r="F282" s="103"/>
    </row>
    <row r="283" spans="1:6" ht="15.75">
      <c r="A283" s="103"/>
      <c r="B283" s="103"/>
      <c r="C283" s="103"/>
      <c r="D283" s="103"/>
      <c r="E283" s="103"/>
      <c r="F283" s="103"/>
    </row>
    <row r="284" spans="1:6" ht="15.75">
      <c r="A284" s="103"/>
      <c r="B284" s="103"/>
      <c r="C284" s="103"/>
      <c r="D284" s="103"/>
      <c r="E284" s="103"/>
      <c r="F284" s="103"/>
    </row>
    <row r="285" spans="1:6" ht="15.75">
      <c r="A285" s="103"/>
      <c r="B285" s="103"/>
      <c r="C285" s="103"/>
      <c r="D285" s="103"/>
      <c r="E285" s="103"/>
      <c r="F285" s="103"/>
    </row>
    <row r="286" spans="1:6" ht="15.75">
      <c r="A286" s="103"/>
      <c r="B286" s="103"/>
      <c r="C286" s="103"/>
      <c r="D286" s="103"/>
      <c r="E286" s="103"/>
      <c r="F286" s="103"/>
    </row>
    <row r="287" spans="1:6" ht="15.75">
      <c r="A287" s="103"/>
      <c r="B287" s="103"/>
      <c r="C287" s="103"/>
      <c r="D287" s="103"/>
      <c r="E287" s="103"/>
      <c r="F287" s="103"/>
    </row>
    <row r="288" spans="1:6" ht="15.75">
      <c r="A288" s="103"/>
      <c r="B288" s="103"/>
      <c r="C288" s="103"/>
      <c r="D288" s="103"/>
      <c r="E288" s="103"/>
      <c r="F288" s="103"/>
    </row>
    <row r="289" spans="1:6" ht="15.75">
      <c r="A289" s="103"/>
      <c r="B289" s="103"/>
      <c r="C289" s="103"/>
      <c r="D289" s="103"/>
      <c r="E289" s="103"/>
      <c r="F289" s="103"/>
    </row>
    <row r="290" spans="1:6" ht="15.75">
      <c r="A290" s="103"/>
      <c r="B290" s="103"/>
      <c r="C290" s="103"/>
      <c r="D290" s="103"/>
      <c r="E290" s="103"/>
      <c r="F290" s="103"/>
    </row>
    <row r="291" spans="1:6" ht="15.75">
      <c r="A291" s="103"/>
      <c r="B291" s="103"/>
      <c r="C291" s="103"/>
      <c r="D291" s="103"/>
      <c r="E291" s="103"/>
      <c r="F291" s="103"/>
    </row>
    <row r="292" spans="1:6" ht="15.75">
      <c r="A292" s="103"/>
      <c r="B292" s="103"/>
      <c r="C292" s="103"/>
      <c r="D292" s="103"/>
      <c r="E292" s="103"/>
      <c r="F292" s="103"/>
    </row>
    <row r="293" spans="1:6" ht="15.75">
      <c r="A293" s="103"/>
      <c r="B293" s="103"/>
      <c r="C293" s="103"/>
      <c r="D293" s="103"/>
      <c r="E293" s="103"/>
      <c r="F293" s="103"/>
    </row>
    <row r="294" spans="1:6" ht="15.75">
      <c r="A294" s="103"/>
      <c r="B294" s="103"/>
      <c r="C294" s="103"/>
      <c r="D294" s="103"/>
      <c r="E294" s="103"/>
      <c r="F294" s="103"/>
    </row>
    <row r="295" spans="1:6" ht="15.75">
      <c r="A295" s="103"/>
      <c r="B295" s="103"/>
      <c r="C295" s="103"/>
      <c r="D295" s="103"/>
      <c r="E295" s="103"/>
      <c r="F295" s="103"/>
    </row>
    <row r="296" spans="1:6" ht="15.75">
      <c r="A296" s="103"/>
      <c r="B296" s="103"/>
      <c r="C296" s="103"/>
      <c r="D296" s="103"/>
      <c r="E296" s="103"/>
      <c r="F296" s="103"/>
    </row>
    <row r="297" spans="1:6" ht="15.75">
      <c r="A297" s="103"/>
      <c r="B297" s="103"/>
      <c r="C297" s="103"/>
      <c r="D297" s="103"/>
      <c r="E297" s="103"/>
      <c r="F297" s="103"/>
    </row>
    <row r="298" spans="1:6" ht="15.75">
      <c r="A298" s="103"/>
      <c r="B298" s="103"/>
      <c r="C298" s="103"/>
      <c r="D298" s="103"/>
      <c r="E298" s="103"/>
      <c r="F298" s="103"/>
    </row>
    <row r="299" spans="1:6" ht="15.75">
      <c r="A299" s="103"/>
      <c r="B299" s="103"/>
      <c r="C299" s="103"/>
      <c r="D299" s="103"/>
      <c r="E299" s="103"/>
      <c r="F299" s="103"/>
    </row>
    <row r="300" spans="1:6" ht="15.75">
      <c r="A300" s="103"/>
      <c r="B300" s="103"/>
      <c r="C300" s="103"/>
      <c r="D300" s="103"/>
      <c r="E300" s="103"/>
      <c r="F300" s="103"/>
    </row>
    <row r="301" spans="1:6" ht="15.75">
      <c r="A301" s="103"/>
      <c r="B301" s="103"/>
      <c r="C301" s="103"/>
      <c r="D301" s="103"/>
      <c r="E301" s="103"/>
      <c r="F301" s="103"/>
    </row>
    <row r="302" spans="1:6" ht="15.75">
      <c r="A302" s="103"/>
      <c r="B302" s="103"/>
      <c r="C302" s="103"/>
      <c r="D302" s="103"/>
      <c r="E302" s="103"/>
      <c r="F302" s="103"/>
    </row>
    <row r="303" spans="1:6" ht="15.75">
      <c r="A303" s="103"/>
      <c r="B303" s="103"/>
      <c r="C303" s="103"/>
      <c r="D303" s="103"/>
      <c r="E303" s="103"/>
      <c r="F303" s="103"/>
    </row>
    <row r="304" spans="1:6" ht="15.75">
      <c r="A304" s="103"/>
      <c r="B304" s="103"/>
      <c r="C304" s="103"/>
      <c r="D304" s="103"/>
      <c r="E304" s="103"/>
      <c r="F304" s="103"/>
    </row>
  </sheetData>
  <mergeCells count="28">
    <mergeCell ref="A18:B18"/>
    <mergeCell ref="B3:D3"/>
    <mergeCell ref="A13:F13"/>
    <mergeCell ref="A14:F14"/>
    <mergeCell ref="A16:B16"/>
    <mergeCell ref="A17:B17"/>
    <mergeCell ref="A52:B52"/>
    <mergeCell ref="A19:B19"/>
    <mergeCell ref="A20:B20"/>
    <mergeCell ref="A21:B21"/>
    <mergeCell ref="A22:B22"/>
    <mergeCell ref="A23:B23"/>
    <mergeCell ref="A24:B24"/>
    <mergeCell ref="A46:F46"/>
    <mergeCell ref="A48:B48"/>
    <mergeCell ref="A49:B49"/>
    <mergeCell ref="A50:B50"/>
    <mergeCell ref="A51:B51"/>
    <mergeCell ref="A59:B59"/>
    <mergeCell ref="A60:B60"/>
    <mergeCell ref="A61:B61"/>
    <mergeCell ref="A62:B62"/>
    <mergeCell ref="A53:B53"/>
    <mergeCell ref="A54:B54"/>
    <mergeCell ref="A55:B55"/>
    <mergeCell ref="A56:B56"/>
    <mergeCell ref="A57:B57"/>
    <mergeCell ref="A58:B58"/>
  </mergeCells>
  <printOptions horizontalCentered="1"/>
  <pageMargins left="0.5" right="0.5" top="0.5" bottom="0.5" header="0.5" footer="0.5"/>
  <pageSetup orientation="portrait" r:id="rId1"/>
  <headerFooter alignWithMargins="0"/>
  <rowBreaks count="1" manualBreakCount="1">
    <brk id="89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sqref="A1:E44"/>
    </sheetView>
  </sheetViews>
  <sheetFormatPr defaultRowHeight="15.75"/>
  <cols>
    <col min="1" max="1" width="27.25" bestFit="1" customWidth="1"/>
    <col min="2" max="2" width="26.625" bestFit="1" customWidth="1"/>
    <col min="3" max="3" width="5.5" bestFit="1" customWidth="1"/>
    <col min="4" max="4" width="13.5" bestFit="1" customWidth="1"/>
    <col min="5" max="5" width="14.875" bestFit="1" customWidth="1"/>
  </cols>
  <sheetData>
    <row r="1" spans="1:5" ht="25.5">
      <c r="A1" s="46" t="s">
        <v>55</v>
      </c>
      <c r="B1" s="47" t="s">
        <v>56</v>
      </c>
      <c r="C1" s="47" t="s">
        <v>57</v>
      </c>
      <c r="D1" s="47" t="s">
        <v>5</v>
      </c>
      <c r="E1" s="48" t="s">
        <v>58</v>
      </c>
    </row>
    <row r="2" spans="1:5">
      <c r="A2" s="50" t="s">
        <v>16</v>
      </c>
      <c r="B2" s="51" t="s">
        <v>71</v>
      </c>
      <c r="C2" s="52">
        <v>2010</v>
      </c>
      <c r="D2" s="53">
        <v>170151643.09999999</v>
      </c>
      <c r="E2" s="54">
        <v>175939506</v>
      </c>
    </row>
    <row r="3" spans="1:5" ht="24" customHeight="1">
      <c r="A3" s="67"/>
      <c r="B3" s="68"/>
      <c r="C3" s="68"/>
      <c r="D3" s="57">
        <f>SUBTOTAL(9,D2:D2)</f>
        <v>170151643.09999999</v>
      </c>
      <c r="E3" s="57">
        <f>SUBTOTAL(9,E2:E2)</f>
        <v>175939506</v>
      </c>
    </row>
    <row r="4" spans="1:5">
      <c r="A4" s="59" t="s">
        <v>0</v>
      </c>
      <c r="B4" s="51" t="s">
        <v>72</v>
      </c>
      <c r="C4" s="52">
        <v>2010</v>
      </c>
      <c r="D4" s="53">
        <v>2000</v>
      </c>
      <c r="E4" s="54">
        <v>4000</v>
      </c>
    </row>
    <row r="5" spans="1:5">
      <c r="A5" s="60"/>
      <c r="B5" s="51" t="s">
        <v>73</v>
      </c>
      <c r="C5" s="52">
        <v>2010</v>
      </c>
      <c r="D5" s="53">
        <v>137009</v>
      </c>
      <c r="E5" s="54">
        <v>331854</v>
      </c>
    </row>
    <row r="6" spans="1:5" ht="24" customHeight="1">
      <c r="A6" s="67"/>
      <c r="B6" s="68"/>
      <c r="C6" s="68"/>
      <c r="D6" s="57">
        <f>SUBTOTAL(9,D4:D5)</f>
        <v>139009</v>
      </c>
      <c r="E6" s="57">
        <f>SUBTOTAL(9,E4:E5)</f>
        <v>335854</v>
      </c>
    </row>
    <row r="7" spans="1:5">
      <c r="A7" s="59" t="s">
        <v>17</v>
      </c>
      <c r="B7" s="51" t="s">
        <v>74</v>
      </c>
      <c r="C7" s="52">
        <v>2010</v>
      </c>
      <c r="D7" s="53">
        <v>1398000.04</v>
      </c>
      <c r="E7" s="54">
        <v>1269976</v>
      </c>
    </row>
    <row r="8" spans="1:5">
      <c r="A8" s="61"/>
      <c r="B8" s="51" t="s">
        <v>118</v>
      </c>
      <c r="C8" s="52">
        <v>2010</v>
      </c>
      <c r="D8" s="53">
        <v>0</v>
      </c>
      <c r="E8" s="54">
        <v>0</v>
      </c>
    </row>
    <row r="9" spans="1:5">
      <c r="A9" s="61"/>
      <c r="B9" s="51" t="s">
        <v>128</v>
      </c>
      <c r="C9" s="52">
        <v>2010</v>
      </c>
      <c r="D9" s="53">
        <v>0</v>
      </c>
      <c r="E9" s="54">
        <v>673124</v>
      </c>
    </row>
    <row r="10" spans="1:5">
      <c r="A10" s="61"/>
      <c r="B10" s="51" t="s">
        <v>75</v>
      </c>
      <c r="C10" s="52">
        <v>2010</v>
      </c>
      <c r="D10" s="53">
        <v>0</v>
      </c>
      <c r="E10" s="54">
        <v>55620</v>
      </c>
    </row>
    <row r="11" spans="1:5">
      <c r="A11" s="61"/>
      <c r="B11" s="51" t="s">
        <v>76</v>
      </c>
      <c r="C11" s="52">
        <v>2010</v>
      </c>
      <c r="D11" s="53">
        <v>3855161.23</v>
      </c>
      <c r="E11" s="54">
        <v>6644838</v>
      </c>
    </row>
    <row r="12" spans="1:5">
      <c r="A12" s="60"/>
      <c r="B12" s="51" t="s">
        <v>77</v>
      </c>
      <c r="C12" s="52">
        <v>2010</v>
      </c>
      <c r="D12" s="53">
        <v>631059.94999999995</v>
      </c>
      <c r="E12" s="54">
        <v>2120000</v>
      </c>
    </row>
    <row r="13" spans="1:5" ht="24" customHeight="1">
      <c r="A13" s="67"/>
      <c r="B13" s="68"/>
      <c r="C13" s="68"/>
      <c r="D13" s="57">
        <f>SUBTOTAL(9,D7:D12)</f>
        <v>5884221.2199999997</v>
      </c>
      <c r="E13" s="57">
        <f>SUBTOTAL(9,E7:E12)</f>
        <v>10763558</v>
      </c>
    </row>
    <row r="14" spans="1:5">
      <c r="A14" s="59" t="s">
        <v>20</v>
      </c>
      <c r="B14" s="51" t="s">
        <v>78</v>
      </c>
      <c r="C14" s="52">
        <v>2010</v>
      </c>
      <c r="D14" s="53">
        <v>3678649.48</v>
      </c>
      <c r="E14" s="54">
        <v>8390320</v>
      </c>
    </row>
    <row r="15" spans="1:5">
      <c r="A15" s="61"/>
      <c r="B15" s="51" t="s">
        <v>79</v>
      </c>
      <c r="C15" s="52">
        <v>2010</v>
      </c>
      <c r="D15" s="53">
        <v>2632818.66</v>
      </c>
      <c r="E15" s="54">
        <v>6063862</v>
      </c>
    </row>
    <row r="16" spans="1:5">
      <c r="A16" s="61"/>
      <c r="B16" s="51" t="s">
        <v>80</v>
      </c>
      <c r="C16" s="52">
        <v>2010</v>
      </c>
      <c r="D16" s="53">
        <v>0</v>
      </c>
      <c r="E16" s="54">
        <v>0</v>
      </c>
    </row>
    <row r="17" spans="1:5">
      <c r="A17" s="61"/>
      <c r="B17" s="51" t="s">
        <v>81</v>
      </c>
      <c r="C17" s="52">
        <v>2010</v>
      </c>
      <c r="D17" s="53">
        <v>3381830.28</v>
      </c>
      <c r="E17" s="54">
        <v>8042780</v>
      </c>
    </row>
    <row r="18" spans="1:5">
      <c r="A18" s="61"/>
      <c r="B18" s="51" t="s">
        <v>82</v>
      </c>
      <c r="C18" s="52">
        <v>2010</v>
      </c>
      <c r="D18" s="53">
        <v>13940</v>
      </c>
      <c r="E18" s="54">
        <v>23000</v>
      </c>
    </row>
    <row r="19" spans="1:5">
      <c r="A19" s="61"/>
      <c r="B19" s="51" t="s">
        <v>83</v>
      </c>
      <c r="C19" s="52">
        <v>2010</v>
      </c>
      <c r="D19" s="53">
        <v>2014766.68</v>
      </c>
      <c r="E19" s="54">
        <v>6038174</v>
      </c>
    </row>
    <row r="20" spans="1:5">
      <c r="A20" s="60"/>
      <c r="B20" s="51" t="s">
        <v>119</v>
      </c>
      <c r="C20" s="52">
        <v>2010</v>
      </c>
      <c r="D20" s="53">
        <v>5903382.5499999998</v>
      </c>
      <c r="E20" s="54">
        <v>11793090</v>
      </c>
    </row>
    <row r="21" spans="1:5" ht="24" customHeight="1">
      <c r="A21" s="67"/>
      <c r="B21" s="68"/>
      <c r="C21" s="68"/>
      <c r="D21" s="57">
        <f>SUBTOTAL(9,D14:D20)</f>
        <v>17625387.649999999</v>
      </c>
      <c r="E21" s="57">
        <f>SUBTOTAL(9,E14:E20)</f>
        <v>40351226</v>
      </c>
    </row>
    <row r="22" spans="1:5">
      <c r="A22" s="50" t="s">
        <v>22</v>
      </c>
      <c r="B22" s="51" t="s">
        <v>84</v>
      </c>
      <c r="C22" s="52">
        <v>2010</v>
      </c>
      <c r="D22" s="53">
        <v>1700946.93</v>
      </c>
      <c r="E22" s="54">
        <v>4596375</v>
      </c>
    </row>
    <row r="23" spans="1:5" ht="24" customHeight="1">
      <c r="A23" s="67"/>
      <c r="B23" s="68"/>
      <c r="C23" s="68"/>
      <c r="D23" s="57">
        <f>SUBTOTAL(9,D22:D22)</f>
        <v>1700946.93</v>
      </c>
      <c r="E23" s="57">
        <f>SUBTOTAL(9,E22:E22)</f>
        <v>4596375</v>
      </c>
    </row>
    <row r="24" spans="1:5">
      <c r="A24" s="59" t="s">
        <v>18</v>
      </c>
      <c r="B24" s="51" t="s">
        <v>85</v>
      </c>
      <c r="C24" s="52">
        <v>2010</v>
      </c>
      <c r="D24" s="53">
        <v>1513193.66</v>
      </c>
      <c r="E24" s="54">
        <v>7233204</v>
      </c>
    </row>
    <row r="25" spans="1:5">
      <c r="A25" s="60"/>
      <c r="B25" s="51" t="s">
        <v>86</v>
      </c>
      <c r="C25" s="52">
        <v>2010</v>
      </c>
      <c r="D25" s="53">
        <v>682644.81</v>
      </c>
      <c r="E25" s="54">
        <v>1372862</v>
      </c>
    </row>
    <row r="26" spans="1:5" ht="24" customHeight="1">
      <c r="A26" s="67"/>
      <c r="B26" s="68"/>
      <c r="C26" s="68"/>
      <c r="D26" s="57">
        <f>SUBTOTAL(9,D24:D25)</f>
        <v>2195838.4699999997</v>
      </c>
      <c r="E26" s="57">
        <f>SUBTOTAL(9,E24:E25)</f>
        <v>8606066</v>
      </c>
    </row>
    <row r="27" spans="1:5">
      <c r="A27" s="59" t="s">
        <v>21</v>
      </c>
      <c r="B27" s="51" t="s">
        <v>120</v>
      </c>
      <c r="C27" s="52">
        <v>2010</v>
      </c>
      <c r="D27" s="53">
        <v>1155988.1000000001</v>
      </c>
      <c r="E27" s="54">
        <v>0</v>
      </c>
    </row>
    <row r="28" spans="1:5">
      <c r="A28" s="61"/>
      <c r="B28" s="51" t="s">
        <v>87</v>
      </c>
      <c r="C28" s="52">
        <v>2010</v>
      </c>
      <c r="D28" s="53">
        <v>7510.84</v>
      </c>
      <c r="E28" s="54">
        <v>0</v>
      </c>
    </row>
    <row r="29" spans="1:5">
      <c r="A29" s="60"/>
      <c r="B29" s="51" t="s">
        <v>121</v>
      </c>
      <c r="C29" s="52">
        <v>2010</v>
      </c>
      <c r="D29" s="53">
        <v>15604982.58</v>
      </c>
      <c r="E29" s="54">
        <v>19563765</v>
      </c>
    </row>
    <row r="30" spans="1:5" ht="24" customHeight="1">
      <c r="A30" s="67"/>
      <c r="B30" s="68"/>
      <c r="C30" s="68"/>
      <c r="D30" s="57">
        <f>SUBTOTAL(9,D27:D29)</f>
        <v>16768481.52</v>
      </c>
      <c r="E30" s="57">
        <f>SUBTOTAL(9,E27:E29)</f>
        <v>19563765</v>
      </c>
    </row>
    <row r="31" spans="1:5">
      <c r="A31" s="59" t="s">
        <v>19</v>
      </c>
      <c r="B31" s="51" t="s">
        <v>88</v>
      </c>
      <c r="C31" s="52">
        <v>2010</v>
      </c>
      <c r="D31" s="53">
        <v>6880.12</v>
      </c>
      <c r="E31" s="54">
        <v>73336</v>
      </c>
    </row>
    <row r="32" spans="1:5">
      <c r="A32" s="61"/>
      <c r="B32" s="51" t="s">
        <v>89</v>
      </c>
      <c r="C32" s="52">
        <v>2010</v>
      </c>
      <c r="D32" s="53">
        <v>509090.63</v>
      </c>
      <c r="E32" s="54">
        <v>865419</v>
      </c>
    </row>
    <row r="33" spans="1:5">
      <c r="A33" s="61"/>
      <c r="B33" s="51" t="s">
        <v>122</v>
      </c>
      <c r="C33" s="52">
        <v>2010</v>
      </c>
      <c r="D33" s="53">
        <v>130082.48</v>
      </c>
      <c r="E33" s="54">
        <v>0</v>
      </c>
    </row>
    <row r="34" spans="1:5">
      <c r="A34" s="61"/>
      <c r="B34" s="51" t="s">
        <v>90</v>
      </c>
      <c r="C34" s="52">
        <v>2010</v>
      </c>
      <c r="D34" s="53">
        <v>0</v>
      </c>
      <c r="E34" s="54">
        <v>0</v>
      </c>
    </row>
    <row r="35" spans="1:5">
      <c r="A35" s="60"/>
      <c r="B35" s="51" t="s">
        <v>123</v>
      </c>
      <c r="C35" s="52">
        <v>2010</v>
      </c>
      <c r="D35" s="53">
        <v>17402.8</v>
      </c>
      <c r="E35" s="54">
        <v>41606</v>
      </c>
    </row>
    <row r="36" spans="1:5" ht="24" customHeight="1">
      <c r="A36" s="67"/>
      <c r="B36" s="68"/>
      <c r="C36" s="68"/>
      <c r="D36" s="57">
        <f>SUBTOTAL(9,D31:D35)</f>
        <v>663456.03</v>
      </c>
      <c r="E36" s="57">
        <f>SUBTOTAL(9,E31:E35)</f>
        <v>980361</v>
      </c>
    </row>
    <row r="37" spans="1:5">
      <c r="A37" s="59" t="s">
        <v>6</v>
      </c>
      <c r="B37" s="51" t="s">
        <v>124</v>
      </c>
      <c r="C37" s="52">
        <v>2010</v>
      </c>
      <c r="D37" s="53">
        <v>0</v>
      </c>
      <c r="E37" s="54">
        <v>0</v>
      </c>
    </row>
    <row r="38" spans="1:5">
      <c r="A38" s="61"/>
      <c r="B38" s="51" t="s">
        <v>125</v>
      </c>
      <c r="C38" s="52">
        <v>2010</v>
      </c>
      <c r="D38" s="53">
        <v>0</v>
      </c>
      <c r="E38" s="54">
        <v>0</v>
      </c>
    </row>
    <row r="39" spans="1:5">
      <c r="A39" s="61"/>
      <c r="B39" s="51" t="s">
        <v>126</v>
      </c>
      <c r="C39" s="52">
        <v>2010</v>
      </c>
      <c r="D39" s="53">
        <v>0</v>
      </c>
      <c r="E39" s="54">
        <v>0</v>
      </c>
    </row>
    <row r="40" spans="1:5">
      <c r="A40" s="61"/>
      <c r="B40" s="51" t="s">
        <v>129</v>
      </c>
      <c r="C40" s="52">
        <v>2010</v>
      </c>
      <c r="D40" s="53">
        <v>0</v>
      </c>
      <c r="E40" s="54">
        <v>0</v>
      </c>
    </row>
    <row r="41" spans="1:5">
      <c r="A41" s="61"/>
      <c r="B41" s="51" t="s">
        <v>91</v>
      </c>
      <c r="C41" s="52">
        <v>2010</v>
      </c>
      <c r="D41" s="53">
        <v>8491195.9700000007</v>
      </c>
      <c r="E41" s="54">
        <v>9210036</v>
      </c>
    </row>
    <row r="42" spans="1:5">
      <c r="A42" s="60"/>
      <c r="B42" s="51" t="s">
        <v>92</v>
      </c>
      <c r="C42" s="52">
        <v>2010</v>
      </c>
      <c r="D42" s="53">
        <v>72698.22</v>
      </c>
      <c r="E42" s="54">
        <v>55000</v>
      </c>
    </row>
    <row r="43" spans="1:5" ht="24" customHeight="1">
      <c r="A43" s="67"/>
      <c r="B43" s="68"/>
      <c r="C43" s="68"/>
      <c r="D43" s="69">
        <f>SUBTOTAL(9,D37:D42)</f>
        <v>8563894.1900000013</v>
      </c>
      <c r="E43" s="69">
        <f>SUBTOTAL(9,E37:E42)</f>
        <v>9265036</v>
      </c>
    </row>
    <row r="44" spans="1:5" ht="24" customHeight="1">
      <c r="A44" s="70"/>
      <c r="B44" s="71"/>
      <c r="C44" s="71"/>
      <c r="D44" s="64">
        <f>SUBTOTAL(9,D2:D43)</f>
        <v>223692878.10999998</v>
      </c>
      <c r="E44" s="64">
        <f>SUBTOTAL(9,E2:E43)</f>
        <v>270401747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sqref="A1:E17"/>
    </sheetView>
  </sheetViews>
  <sheetFormatPr defaultRowHeight="15.75"/>
  <cols>
    <col min="1" max="1" width="11.5" bestFit="1" customWidth="1"/>
    <col min="2" max="2" width="23.5" bestFit="1" customWidth="1"/>
    <col min="3" max="4" width="13.5" bestFit="1" customWidth="1"/>
    <col min="5" max="5" width="14.75" customWidth="1"/>
  </cols>
  <sheetData>
    <row r="1" spans="1:5" ht="25.5">
      <c r="A1" s="46" t="s">
        <v>96</v>
      </c>
      <c r="B1" s="46" t="s">
        <v>55</v>
      </c>
      <c r="C1" s="47" t="s">
        <v>97</v>
      </c>
      <c r="D1" s="47" t="s">
        <v>98</v>
      </c>
      <c r="E1" s="48" t="s">
        <v>99</v>
      </c>
    </row>
    <row r="2" spans="1:5">
      <c r="A2" s="72">
        <v>80</v>
      </c>
      <c r="B2" s="59" t="s">
        <v>11</v>
      </c>
      <c r="C2" s="53">
        <v>346531</v>
      </c>
      <c r="D2" s="53">
        <v>349261</v>
      </c>
      <c r="E2" s="54">
        <v>147348.93</v>
      </c>
    </row>
    <row r="3" spans="1:5">
      <c r="A3" s="72">
        <v>76</v>
      </c>
      <c r="B3" s="59" t="s">
        <v>8</v>
      </c>
      <c r="C3" s="53">
        <v>1078918</v>
      </c>
      <c r="D3" s="53">
        <v>1167917</v>
      </c>
      <c r="E3" s="54">
        <v>1525134.47</v>
      </c>
    </row>
    <row r="4" spans="1:5">
      <c r="A4" s="72">
        <v>85</v>
      </c>
      <c r="B4" s="59" t="s">
        <v>100</v>
      </c>
      <c r="C4" s="53">
        <v>43665123</v>
      </c>
      <c r="D4" s="53">
        <v>43956284</v>
      </c>
      <c r="E4" s="54">
        <v>35053226.109999999</v>
      </c>
    </row>
    <row r="5" spans="1:5">
      <c r="A5" s="72">
        <v>60</v>
      </c>
      <c r="B5" s="59" t="s">
        <v>9</v>
      </c>
      <c r="C5" s="53">
        <v>3263326</v>
      </c>
      <c r="D5" s="53">
        <v>3313660</v>
      </c>
      <c r="E5" s="54">
        <v>1757717.35</v>
      </c>
    </row>
    <row r="6" spans="1:5">
      <c r="A6" s="72">
        <v>48</v>
      </c>
      <c r="B6" s="59" t="s">
        <v>47</v>
      </c>
      <c r="C6" s="53">
        <v>10604579</v>
      </c>
      <c r="D6" s="53">
        <v>10781418</v>
      </c>
      <c r="E6" s="54">
        <v>5580579.9500000002</v>
      </c>
    </row>
    <row r="7" spans="1:5">
      <c r="A7" s="72">
        <v>41</v>
      </c>
      <c r="B7" s="59" t="s">
        <v>46</v>
      </c>
      <c r="C7" s="53">
        <v>40714461</v>
      </c>
      <c r="D7" s="53">
        <v>48864063</v>
      </c>
      <c r="E7" s="54">
        <v>17620089.010000002</v>
      </c>
    </row>
    <row r="8" spans="1:5">
      <c r="A8" s="72">
        <v>72</v>
      </c>
      <c r="B8" s="59" t="s">
        <v>10</v>
      </c>
      <c r="C8" s="53">
        <v>17404071</v>
      </c>
      <c r="D8" s="53">
        <v>15345509</v>
      </c>
      <c r="E8" s="54">
        <v>9665369.1099999994</v>
      </c>
    </row>
    <row r="9" spans="1:5">
      <c r="A9" s="72">
        <v>44</v>
      </c>
      <c r="B9" s="59" t="s">
        <v>49</v>
      </c>
      <c r="C9" s="53">
        <v>17413314</v>
      </c>
      <c r="D9" s="53">
        <v>17644196</v>
      </c>
      <c r="E9" s="54">
        <v>8874392.9399999995</v>
      </c>
    </row>
    <row r="10" spans="1:5">
      <c r="A10" s="72">
        <v>52</v>
      </c>
      <c r="B10" s="59" t="s">
        <v>50</v>
      </c>
      <c r="C10" s="53">
        <v>10775827</v>
      </c>
      <c r="D10" s="53">
        <v>10856562</v>
      </c>
      <c r="E10" s="54">
        <v>5789049.0099999998</v>
      </c>
    </row>
    <row r="11" spans="1:5">
      <c r="A11" s="72">
        <v>56</v>
      </c>
      <c r="B11" s="59" t="s">
        <v>7</v>
      </c>
      <c r="C11" s="53">
        <v>13414559</v>
      </c>
      <c r="D11" s="53">
        <v>16891153</v>
      </c>
      <c r="E11" s="54">
        <v>7489826.7000000002</v>
      </c>
    </row>
    <row r="12" spans="1:5">
      <c r="A12" s="72">
        <v>64</v>
      </c>
      <c r="B12" s="59" t="s">
        <v>48</v>
      </c>
      <c r="C12" s="53">
        <v>65544767</v>
      </c>
      <c r="D12" s="53">
        <v>65821707</v>
      </c>
      <c r="E12" s="54">
        <v>35211365.259999998</v>
      </c>
    </row>
    <row r="13" spans="1:5">
      <c r="A13" s="72">
        <v>68</v>
      </c>
      <c r="B13" s="59" t="s">
        <v>101</v>
      </c>
      <c r="C13" s="53">
        <v>19347332</v>
      </c>
      <c r="D13" s="53">
        <v>35033475</v>
      </c>
      <c r="E13" s="54">
        <v>33195586.399999999</v>
      </c>
    </row>
    <row r="14" spans="1:5">
      <c r="A14" s="73">
        <v>88</v>
      </c>
      <c r="B14" s="50" t="s">
        <v>12</v>
      </c>
      <c r="C14" s="53">
        <v>26609348</v>
      </c>
      <c r="D14" s="53">
        <v>27891656</v>
      </c>
      <c r="E14" s="54">
        <v>18116148.25</v>
      </c>
    </row>
    <row r="15" spans="1:5">
      <c r="A15" s="74"/>
      <c r="B15" s="75"/>
      <c r="C15" s="76">
        <f>SUBTOTAL(9,C2:C14)</f>
        <v>270182156</v>
      </c>
      <c r="D15" s="76">
        <f>SUBTOTAL(9,D2:D14)</f>
        <v>297916861</v>
      </c>
      <c r="E15" s="76">
        <f>SUBTOTAL(9,E2:E14)</f>
        <v>180025833.49000001</v>
      </c>
    </row>
    <row r="16" spans="1:5">
      <c r="A16" s="75"/>
      <c r="B16" s="75"/>
      <c r="C16" s="75"/>
      <c r="D16" s="75"/>
      <c r="E16" s="75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showGridLines="0" topLeftCell="A13" zoomScaleNormal="100" workbookViewId="0">
      <selection activeCell="F32" sqref="F32"/>
    </sheetView>
  </sheetViews>
  <sheetFormatPr defaultRowHeight="15.75"/>
  <cols>
    <col min="1" max="1" width="27.25" bestFit="1" customWidth="1"/>
    <col min="2" max="2" width="26.625" bestFit="1" customWidth="1"/>
    <col min="3" max="3" width="5.5" bestFit="1" customWidth="1"/>
    <col min="4" max="4" width="13.5" bestFit="1" customWidth="1"/>
    <col min="5" max="5" width="14.875" bestFit="1" customWidth="1"/>
  </cols>
  <sheetData>
    <row r="1" spans="1:5" ht="25.5">
      <c r="A1" s="46" t="s">
        <v>55</v>
      </c>
      <c r="B1" s="47" t="s">
        <v>56</v>
      </c>
      <c r="C1" s="47" t="s">
        <v>57</v>
      </c>
      <c r="D1" s="47" t="s">
        <v>5</v>
      </c>
      <c r="E1" s="48" t="s">
        <v>58</v>
      </c>
    </row>
    <row r="2" spans="1:5">
      <c r="A2" s="50" t="s">
        <v>16</v>
      </c>
      <c r="B2" s="51" t="s">
        <v>71</v>
      </c>
      <c r="C2" s="52">
        <v>2010</v>
      </c>
      <c r="D2" s="53">
        <v>94795716.219999999</v>
      </c>
      <c r="E2" s="54">
        <v>175939506</v>
      </c>
    </row>
    <row r="3" spans="1:5" ht="24" customHeight="1">
      <c r="A3" s="67"/>
      <c r="B3" s="68"/>
      <c r="C3" s="68"/>
      <c r="D3" s="57">
        <f>SUBTOTAL(9,D2:D2)</f>
        <v>94795716.219999999</v>
      </c>
      <c r="E3" s="57">
        <f>SUBTOTAL(9,E2:E2)</f>
        <v>175939506</v>
      </c>
    </row>
    <row r="4" spans="1:5">
      <c r="A4" s="59" t="s">
        <v>0</v>
      </c>
      <c r="B4" s="51" t="s">
        <v>72</v>
      </c>
      <c r="C4" s="52">
        <v>2010</v>
      </c>
      <c r="D4" s="53">
        <v>500</v>
      </c>
      <c r="E4" s="54">
        <v>4000</v>
      </c>
    </row>
    <row r="5" spans="1:5">
      <c r="A5" s="60"/>
      <c r="B5" s="51" t="s">
        <v>73</v>
      </c>
      <c r="C5" s="52">
        <v>2010</v>
      </c>
      <c r="D5" s="53">
        <v>75482</v>
      </c>
      <c r="E5" s="54">
        <v>331854</v>
      </c>
    </row>
    <row r="6" spans="1:5" ht="24" customHeight="1">
      <c r="A6" s="67"/>
      <c r="B6" s="68"/>
      <c r="C6" s="68"/>
      <c r="D6" s="57">
        <f>SUBTOTAL(9,D4:D5)</f>
        <v>75982</v>
      </c>
      <c r="E6" s="57">
        <f>SUBTOTAL(9,E4:E5)</f>
        <v>335854</v>
      </c>
    </row>
    <row r="7" spans="1:5">
      <c r="A7" s="59" t="s">
        <v>17</v>
      </c>
      <c r="B7" s="51" t="s">
        <v>74</v>
      </c>
      <c r="C7" s="52">
        <v>2010</v>
      </c>
      <c r="D7" s="53">
        <v>420799.42</v>
      </c>
      <c r="E7" s="54">
        <v>1269976</v>
      </c>
    </row>
    <row r="8" spans="1:5">
      <c r="A8" s="61"/>
      <c r="B8" s="51" t="s">
        <v>118</v>
      </c>
      <c r="C8" s="52">
        <v>2010</v>
      </c>
      <c r="D8" s="53">
        <v>0</v>
      </c>
      <c r="E8" s="54">
        <v>0</v>
      </c>
    </row>
    <row r="9" spans="1:5">
      <c r="A9" s="61"/>
      <c r="B9" s="51" t="s">
        <v>128</v>
      </c>
      <c r="C9" s="52">
        <v>2010</v>
      </c>
      <c r="D9" s="53">
        <v>0</v>
      </c>
      <c r="E9" s="54">
        <v>673124</v>
      </c>
    </row>
    <row r="10" spans="1:5">
      <c r="A10" s="61"/>
      <c r="B10" s="51" t="s">
        <v>75</v>
      </c>
      <c r="C10" s="52">
        <v>2010</v>
      </c>
      <c r="D10" s="53">
        <v>0</v>
      </c>
      <c r="E10" s="54">
        <v>55620</v>
      </c>
    </row>
    <row r="11" spans="1:5">
      <c r="A11" s="61"/>
      <c r="B11" s="51" t="s">
        <v>76</v>
      </c>
      <c r="C11" s="52">
        <v>2010</v>
      </c>
      <c r="D11" s="53">
        <v>1808513.69</v>
      </c>
      <c r="E11" s="54">
        <v>6644838</v>
      </c>
    </row>
    <row r="12" spans="1:5">
      <c r="A12" s="60"/>
      <c r="B12" s="51" t="s">
        <v>77</v>
      </c>
      <c r="C12" s="52">
        <v>2010</v>
      </c>
      <c r="D12" s="53">
        <v>94378.82</v>
      </c>
      <c r="E12" s="54">
        <v>2120000</v>
      </c>
    </row>
    <row r="13" spans="1:5" ht="24" customHeight="1">
      <c r="A13" s="67"/>
      <c r="B13" s="68"/>
      <c r="C13" s="68"/>
      <c r="D13" s="57">
        <f>SUBTOTAL(9,D7:D12)</f>
        <v>2323691.9299999997</v>
      </c>
      <c r="E13" s="57">
        <f>SUBTOTAL(9,E7:E12)</f>
        <v>10763558</v>
      </c>
    </row>
    <row r="14" spans="1:5">
      <c r="A14" s="59" t="s">
        <v>20</v>
      </c>
      <c r="B14" s="51" t="s">
        <v>78</v>
      </c>
      <c r="C14" s="52">
        <v>2010</v>
      </c>
      <c r="D14" s="53">
        <v>1734985.59</v>
      </c>
      <c r="E14" s="54">
        <v>8390320</v>
      </c>
    </row>
    <row r="15" spans="1:5">
      <c r="A15" s="61"/>
      <c r="B15" s="51" t="s">
        <v>79</v>
      </c>
      <c r="C15" s="52">
        <v>2010</v>
      </c>
      <c r="D15" s="53">
        <v>1451848.83</v>
      </c>
      <c r="E15" s="54">
        <v>6063862</v>
      </c>
    </row>
    <row r="16" spans="1:5">
      <c r="A16" s="61"/>
      <c r="B16" s="51" t="s">
        <v>80</v>
      </c>
      <c r="C16" s="52">
        <v>2010</v>
      </c>
      <c r="D16" s="53">
        <v>0</v>
      </c>
      <c r="E16" s="54">
        <v>0</v>
      </c>
    </row>
    <row r="17" spans="1:5">
      <c r="A17" s="61"/>
      <c r="B17" s="51" t="s">
        <v>81</v>
      </c>
      <c r="C17" s="52">
        <v>2010</v>
      </c>
      <c r="D17" s="53">
        <v>1672688.04</v>
      </c>
      <c r="E17" s="54">
        <v>8042780</v>
      </c>
    </row>
    <row r="18" spans="1:5">
      <c r="A18" s="61"/>
      <c r="B18" s="51" t="s">
        <v>82</v>
      </c>
      <c r="C18" s="52">
        <v>2010</v>
      </c>
      <c r="D18" s="53">
        <v>7140</v>
      </c>
      <c r="E18" s="54">
        <v>23000</v>
      </c>
    </row>
    <row r="19" spans="1:5">
      <c r="A19" s="61"/>
      <c r="B19" s="51" t="s">
        <v>83</v>
      </c>
      <c r="C19" s="52">
        <v>2010</v>
      </c>
      <c r="D19" s="53">
        <v>762595.77</v>
      </c>
      <c r="E19" s="54">
        <v>6038174</v>
      </c>
    </row>
    <row r="20" spans="1:5">
      <c r="A20" s="60"/>
      <c r="B20" s="51" t="s">
        <v>119</v>
      </c>
      <c r="C20" s="52">
        <v>2010</v>
      </c>
      <c r="D20" s="53">
        <v>1522383.8</v>
      </c>
      <c r="E20" s="54">
        <v>11793090</v>
      </c>
    </row>
    <row r="21" spans="1:5" ht="24" customHeight="1">
      <c r="A21" s="67"/>
      <c r="B21" s="68"/>
      <c r="C21" s="68"/>
      <c r="D21" s="57">
        <f>SUBTOTAL(9,D14:D20)</f>
        <v>7151642.0300000003</v>
      </c>
      <c r="E21" s="57">
        <f>SUBTOTAL(9,E14:E20)</f>
        <v>40351226</v>
      </c>
    </row>
    <row r="22" spans="1:5">
      <c r="A22" s="50" t="s">
        <v>22</v>
      </c>
      <c r="B22" s="51" t="s">
        <v>84</v>
      </c>
      <c r="C22" s="52">
        <v>2010</v>
      </c>
      <c r="D22" s="53">
        <v>903594.67</v>
      </c>
      <c r="E22" s="54">
        <v>4596375</v>
      </c>
    </row>
    <row r="23" spans="1:5" ht="24" customHeight="1">
      <c r="A23" s="67"/>
      <c r="B23" s="68"/>
      <c r="C23" s="68"/>
      <c r="D23" s="57">
        <f>SUBTOTAL(9,D22:D22)</f>
        <v>903594.67</v>
      </c>
      <c r="E23" s="57">
        <f>SUBTOTAL(9,E22:E22)</f>
        <v>4596375</v>
      </c>
    </row>
    <row r="24" spans="1:5">
      <c r="A24" s="59" t="s">
        <v>18</v>
      </c>
      <c r="B24" s="51" t="s">
        <v>85</v>
      </c>
      <c r="C24" s="52">
        <v>2010</v>
      </c>
      <c r="D24" s="53">
        <v>598423.94999999995</v>
      </c>
      <c r="E24" s="54">
        <v>7233204</v>
      </c>
    </row>
    <row r="25" spans="1:5">
      <c r="A25" s="60"/>
      <c r="B25" s="51" t="s">
        <v>86</v>
      </c>
      <c r="C25" s="52">
        <v>2010</v>
      </c>
      <c r="D25" s="53">
        <v>417289.31</v>
      </c>
      <c r="E25" s="54">
        <v>1372862</v>
      </c>
    </row>
    <row r="26" spans="1:5" ht="24" customHeight="1">
      <c r="A26" s="67"/>
      <c r="B26" s="68"/>
      <c r="C26" s="68"/>
      <c r="D26" s="57">
        <f>SUBTOTAL(9,D24:D25)</f>
        <v>1015713.26</v>
      </c>
      <c r="E26" s="57">
        <f>SUBTOTAL(9,E24:E25)</f>
        <v>8606066</v>
      </c>
    </row>
    <row r="27" spans="1:5">
      <c r="A27" s="59" t="s">
        <v>21</v>
      </c>
      <c r="B27" s="51" t="s">
        <v>120</v>
      </c>
      <c r="C27" s="52">
        <v>2010</v>
      </c>
      <c r="D27" s="53">
        <v>694782.64</v>
      </c>
      <c r="E27" s="54">
        <v>0</v>
      </c>
    </row>
    <row r="28" spans="1:5">
      <c r="A28" s="61"/>
      <c r="B28" s="51" t="s">
        <v>87</v>
      </c>
      <c r="C28" s="52">
        <v>2010</v>
      </c>
      <c r="D28" s="53">
        <v>0</v>
      </c>
      <c r="E28" s="54">
        <v>0</v>
      </c>
    </row>
    <row r="29" spans="1:5">
      <c r="A29" s="60"/>
      <c r="B29" s="51" t="s">
        <v>121</v>
      </c>
      <c r="C29" s="52">
        <v>2010</v>
      </c>
      <c r="D29" s="53">
        <v>930759.64</v>
      </c>
      <c r="E29" s="54">
        <v>19563765</v>
      </c>
    </row>
    <row r="30" spans="1:5" ht="24" customHeight="1">
      <c r="A30" s="67"/>
      <c r="B30" s="68"/>
      <c r="C30" s="68"/>
      <c r="D30" s="57">
        <f>SUBTOTAL(9,D27:D29)</f>
        <v>1625542.28</v>
      </c>
      <c r="E30" s="57">
        <f>SUBTOTAL(9,E27:E29)</f>
        <v>19563765</v>
      </c>
    </row>
    <row r="31" spans="1:5">
      <c r="A31" s="59" t="s">
        <v>19</v>
      </c>
      <c r="B31" s="51" t="s">
        <v>88</v>
      </c>
      <c r="C31" s="52">
        <v>2010</v>
      </c>
      <c r="D31" s="53">
        <v>400</v>
      </c>
      <c r="E31" s="54">
        <v>73336</v>
      </c>
    </row>
    <row r="32" spans="1:5">
      <c r="A32" s="61"/>
      <c r="B32" s="51" t="s">
        <v>89</v>
      </c>
      <c r="C32" s="52">
        <v>2010</v>
      </c>
      <c r="D32" s="53">
        <v>251874.29</v>
      </c>
      <c r="E32" s="54">
        <v>865419</v>
      </c>
    </row>
    <row r="33" spans="1:5">
      <c r="A33" s="61"/>
      <c r="B33" s="51" t="s">
        <v>122</v>
      </c>
      <c r="C33" s="52">
        <v>2010</v>
      </c>
      <c r="D33" s="53">
        <v>45000</v>
      </c>
      <c r="E33" s="54">
        <v>0</v>
      </c>
    </row>
    <row r="34" spans="1:5">
      <c r="A34" s="61"/>
      <c r="B34" s="51" t="s">
        <v>90</v>
      </c>
      <c r="C34" s="52">
        <v>2010</v>
      </c>
      <c r="D34" s="53">
        <v>0</v>
      </c>
      <c r="E34" s="54">
        <v>0</v>
      </c>
    </row>
    <row r="35" spans="1:5">
      <c r="A35" s="60"/>
      <c r="B35" s="51" t="s">
        <v>123</v>
      </c>
      <c r="C35" s="52">
        <v>2010</v>
      </c>
      <c r="D35" s="53">
        <v>9865.18</v>
      </c>
      <c r="E35" s="54">
        <v>41606</v>
      </c>
    </row>
    <row r="36" spans="1:5" ht="24" customHeight="1">
      <c r="A36" s="67"/>
      <c r="B36" s="68"/>
      <c r="C36" s="68"/>
      <c r="D36" s="57">
        <f>SUBTOTAL(9,D31:D35)</f>
        <v>307139.47000000003</v>
      </c>
      <c r="E36" s="57">
        <f>SUBTOTAL(9,E31:E35)</f>
        <v>980361</v>
      </c>
    </row>
    <row r="37" spans="1:5">
      <c r="A37" s="59" t="s">
        <v>6</v>
      </c>
      <c r="B37" s="51" t="s">
        <v>124</v>
      </c>
      <c r="C37" s="52">
        <v>2010</v>
      </c>
      <c r="D37" s="53">
        <v>0</v>
      </c>
      <c r="E37" s="54">
        <v>0</v>
      </c>
    </row>
    <row r="38" spans="1:5">
      <c r="A38" s="61"/>
      <c r="B38" s="51" t="s">
        <v>125</v>
      </c>
      <c r="C38" s="52">
        <v>2010</v>
      </c>
      <c r="D38" s="53">
        <v>0</v>
      </c>
      <c r="E38" s="54">
        <v>0</v>
      </c>
    </row>
    <row r="39" spans="1:5">
      <c r="A39" s="61"/>
      <c r="B39" s="51" t="s">
        <v>126</v>
      </c>
      <c r="C39" s="52">
        <v>2010</v>
      </c>
      <c r="D39" s="53">
        <v>0</v>
      </c>
      <c r="E39" s="54">
        <v>0</v>
      </c>
    </row>
    <row r="40" spans="1:5">
      <c r="A40" s="61"/>
      <c r="B40" s="51" t="s">
        <v>129</v>
      </c>
      <c r="C40" s="52">
        <v>2010</v>
      </c>
      <c r="D40" s="53">
        <v>0</v>
      </c>
      <c r="E40" s="54">
        <v>0</v>
      </c>
    </row>
    <row r="41" spans="1:5">
      <c r="A41" s="61"/>
      <c r="B41" s="51" t="s">
        <v>91</v>
      </c>
      <c r="C41" s="52">
        <v>2010</v>
      </c>
      <c r="D41" s="53">
        <v>9786.2000000000007</v>
      </c>
      <c r="E41" s="54">
        <v>9210036</v>
      </c>
    </row>
    <row r="42" spans="1:5">
      <c r="A42" s="60"/>
      <c r="B42" s="51" t="s">
        <v>92</v>
      </c>
      <c r="C42" s="52">
        <v>2010</v>
      </c>
      <c r="D42" s="53">
        <v>9686</v>
      </c>
      <c r="E42" s="54">
        <v>55000</v>
      </c>
    </row>
    <row r="43" spans="1:5" ht="24" customHeight="1">
      <c r="A43" s="67"/>
      <c r="B43" s="68"/>
      <c r="C43" s="68"/>
      <c r="D43" s="69">
        <f>SUBTOTAL(9,D37:D42)</f>
        <v>19472.2</v>
      </c>
      <c r="E43" s="69">
        <f>SUBTOTAL(9,E37:E42)</f>
        <v>9265036</v>
      </c>
    </row>
    <row r="44" spans="1:5" ht="24" customHeight="1">
      <c r="A44" s="70"/>
      <c r="B44" s="71"/>
      <c r="C44" s="71"/>
      <c r="D44" s="64">
        <f>SUBTOTAL(9,D2:D43)</f>
        <v>108218494.06000002</v>
      </c>
      <c r="E44" s="64">
        <f>SUBTOTAL(9,E2:E43)</f>
        <v>270401747</v>
      </c>
    </row>
  </sheetData>
  <phoneticPr fontId="12" type="noConversion"/>
  <printOptions horizontalCentered="1"/>
  <pageMargins left="0.248" right="0.22" top="1" bottom="0.76400000000000001" header="0.25" footer="0.22"/>
  <pageSetup orientation="portrait" r:id="rId1"/>
  <headerFooter alignWithMargins="0">
    <oddHeader>&amp;L&amp;"Arial"&amp;10Detail Filter:  Fiscal Year  &gt;=  2010  and  Fund  =  001 &amp;C&amp;B&amp;"Times New Roman"&amp;14Actual Revenues and Original Revenue Budgets&amp;R&amp;"Arial"&amp;8Date: 1/4/2010</oddHeader>
    <oddFooter>&amp;L&amp;C&amp;"Arial"&amp;10Page &amp;P&amp;R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>
      <selection sqref="A1:IV65536"/>
    </sheetView>
  </sheetViews>
  <sheetFormatPr defaultRowHeight="15.75"/>
  <cols>
    <col min="1" max="1" width="11.5" bestFit="1" customWidth="1"/>
    <col min="2" max="2" width="23.5" bestFit="1" customWidth="1"/>
    <col min="3" max="4" width="13.5" bestFit="1" customWidth="1"/>
    <col min="5" max="5" width="12.625" bestFit="1" customWidth="1"/>
  </cols>
  <sheetData>
    <row r="1" spans="1:5" ht="25.5">
      <c r="A1" s="46" t="s">
        <v>96</v>
      </c>
      <c r="B1" s="46" t="s">
        <v>55</v>
      </c>
      <c r="C1" s="47" t="s">
        <v>97</v>
      </c>
      <c r="D1" s="47" t="s">
        <v>98</v>
      </c>
      <c r="E1" s="48" t="s">
        <v>99</v>
      </c>
    </row>
    <row r="2" spans="1:5">
      <c r="A2" s="72">
        <v>80</v>
      </c>
      <c r="B2" s="59" t="s">
        <v>11</v>
      </c>
      <c r="C2" s="53">
        <v>346531</v>
      </c>
      <c r="D2" s="53">
        <v>349261</v>
      </c>
      <c r="E2" s="54">
        <v>61980.31</v>
      </c>
    </row>
    <row r="3" spans="1:5">
      <c r="A3" s="72">
        <v>76</v>
      </c>
      <c r="B3" s="59" t="s">
        <v>8</v>
      </c>
      <c r="C3" s="53">
        <v>1078918</v>
      </c>
      <c r="D3" s="53">
        <v>1117917</v>
      </c>
      <c r="E3" s="54">
        <v>525135.30000000005</v>
      </c>
    </row>
    <row r="4" spans="1:5">
      <c r="A4" s="72">
        <v>85</v>
      </c>
      <c r="B4" s="59" t="s">
        <v>100</v>
      </c>
      <c r="C4" s="53">
        <v>43665123</v>
      </c>
      <c r="D4" s="53">
        <v>43956284</v>
      </c>
      <c r="E4" s="54">
        <v>293550.90000000002</v>
      </c>
    </row>
    <row r="5" spans="1:5">
      <c r="A5" s="72">
        <v>60</v>
      </c>
      <c r="B5" s="59" t="s">
        <v>9</v>
      </c>
      <c r="C5" s="53">
        <v>3263326</v>
      </c>
      <c r="D5" s="53">
        <v>3313660</v>
      </c>
      <c r="E5" s="54">
        <v>526952.73</v>
      </c>
    </row>
    <row r="6" spans="1:5">
      <c r="A6" s="72">
        <v>48</v>
      </c>
      <c r="B6" s="59" t="s">
        <v>47</v>
      </c>
      <c r="C6" s="53">
        <v>10604579</v>
      </c>
      <c r="D6" s="53">
        <v>10781418</v>
      </c>
      <c r="E6" s="54">
        <v>2262421.56</v>
      </c>
    </row>
    <row r="7" spans="1:5">
      <c r="A7" s="72">
        <v>41</v>
      </c>
      <c r="B7" s="59" t="s">
        <v>46</v>
      </c>
      <c r="C7" s="53">
        <v>40714461</v>
      </c>
      <c r="D7" s="53">
        <v>47280489</v>
      </c>
      <c r="E7" s="54">
        <v>9673624.4499999993</v>
      </c>
    </row>
    <row r="8" spans="1:5">
      <c r="A8" s="72">
        <v>72</v>
      </c>
      <c r="B8" s="59" t="s">
        <v>10</v>
      </c>
      <c r="C8" s="53">
        <v>17404071</v>
      </c>
      <c r="D8" s="53">
        <v>15868544</v>
      </c>
      <c r="E8" s="54">
        <v>3897891.85</v>
      </c>
    </row>
    <row r="9" spans="1:5">
      <c r="A9" s="72">
        <v>44</v>
      </c>
      <c r="B9" s="59" t="s">
        <v>49</v>
      </c>
      <c r="C9" s="53">
        <v>17413314</v>
      </c>
      <c r="D9" s="53">
        <v>17614196</v>
      </c>
      <c r="E9" s="54">
        <v>3510638.71</v>
      </c>
    </row>
    <row r="10" spans="1:5">
      <c r="A10" s="72">
        <v>52</v>
      </c>
      <c r="B10" s="59" t="s">
        <v>50</v>
      </c>
      <c r="C10" s="53">
        <v>10775827</v>
      </c>
      <c r="D10" s="53">
        <v>10827931</v>
      </c>
      <c r="E10" s="54">
        <v>2503431.64</v>
      </c>
    </row>
    <row r="11" spans="1:5">
      <c r="A11" s="72">
        <v>56</v>
      </c>
      <c r="B11" s="59" t="s">
        <v>7</v>
      </c>
      <c r="C11" s="53">
        <v>13414559</v>
      </c>
      <c r="D11" s="53">
        <v>16891153</v>
      </c>
      <c r="E11" s="54">
        <v>2210312.6</v>
      </c>
    </row>
    <row r="12" spans="1:5">
      <c r="A12" s="72">
        <v>64</v>
      </c>
      <c r="B12" s="59" t="s">
        <v>48</v>
      </c>
      <c r="C12" s="53">
        <v>65544767</v>
      </c>
      <c r="D12" s="53">
        <v>65626507</v>
      </c>
      <c r="E12" s="54">
        <v>15025948.539999999</v>
      </c>
    </row>
    <row r="13" spans="1:5">
      <c r="A13" s="72">
        <v>68</v>
      </c>
      <c r="B13" s="59" t="s">
        <v>101</v>
      </c>
      <c r="C13" s="53">
        <v>19347332</v>
      </c>
      <c r="D13" s="53">
        <v>29359905</v>
      </c>
      <c r="E13" s="54">
        <v>5946867.6799999997</v>
      </c>
    </row>
    <row r="14" spans="1:5">
      <c r="A14" s="73">
        <v>88</v>
      </c>
      <c r="B14" s="50" t="s">
        <v>12</v>
      </c>
      <c r="C14" s="53">
        <v>26609348</v>
      </c>
      <c r="D14" s="53">
        <v>27809456</v>
      </c>
      <c r="E14" s="54">
        <v>2665266.39</v>
      </c>
    </row>
    <row r="15" spans="1:5">
      <c r="A15" s="74"/>
      <c r="B15" s="75"/>
      <c r="C15" s="76">
        <f>SUBTOTAL(9,C2:C14)</f>
        <v>270182156</v>
      </c>
      <c r="D15" s="76">
        <f>SUBTOTAL(9,D2:D14)</f>
        <v>290796721</v>
      </c>
      <c r="E15" s="76">
        <f>SUBTOTAL(9,E2:E14)</f>
        <v>49104022.660000004</v>
      </c>
    </row>
    <row r="16" spans="1:5">
      <c r="A16" s="75"/>
      <c r="B16" s="75"/>
      <c r="C16" s="75"/>
      <c r="D16" s="75"/>
      <c r="E16" s="75"/>
    </row>
  </sheetData>
  <phoneticPr fontId="12" type="noConversion"/>
  <pageMargins left="0.39300000000000002" right="0.39300000000000002" top="1.2150000000000001" bottom="0.93799999999999994" header="0.39300000000000002" footer="0.39300000000000002"/>
  <pageSetup orientation="landscape" horizontalDpi="1200" verticalDpi="1200" r:id="rId1"/>
  <headerFooter alignWithMargins="0">
    <oddHeader>&amp;L&amp;B&amp;"Arial"&amp;10Fund: 1&amp;C&amp;B&amp;"Times New Roman"&amp;14Expenditure / Budget for FY2010&amp;R&amp;"Arial"&amp;8Date: 1/6/2010</oddHeader>
    <oddFooter>&amp;L&amp;C&amp;"Arial"&amp;10Page &amp;P&amp;R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showGridLines="0" topLeftCell="B1" workbookViewId="0">
      <pane ySplit="1" topLeftCell="A2" activePane="bottomLeft" state="frozen"/>
      <selection pane="bottomLeft" activeCell="L44" sqref="L44"/>
    </sheetView>
  </sheetViews>
  <sheetFormatPr defaultRowHeight="15.75"/>
  <cols>
    <col min="1" max="1" width="27.375" bestFit="1" customWidth="1"/>
    <col min="2" max="2" width="26.75" bestFit="1" customWidth="1"/>
    <col min="3" max="3" width="5.5" bestFit="1" customWidth="1"/>
    <col min="4" max="4" width="13.5" bestFit="1" customWidth="1"/>
    <col min="5" max="5" width="14.125" bestFit="1" customWidth="1"/>
    <col min="6" max="7" width="11.75" bestFit="1" customWidth="1"/>
    <col min="8" max="11" width="12.625" bestFit="1" customWidth="1"/>
    <col min="12" max="16" width="11.75" bestFit="1" customWidth="1"/>
    <col min="17" max="17" width="13.5" bestFit="1" customWidth="1"/>
  </cols>
  <sheetData>
    <row r="1" spans="1:17" s="49" customFormat="1" ht="25.5">
      <c r="A1" s="46" t="s">
        <v>55</v>
      </c>
      <c r="B1" s="47" t="s">
        <v>56</v>
      </c>
      <c r="C1" s="47" t="s">
        <v>57</v>
      </c>
      <c r="D1" s="47" t="s">
        <v>5</v>
      </c>
      <c r="E1" s="47" t="s">
        <v>58</v>
      </c>
      <c r="F1" s="47" t="s">
        <v>59</v>
      </c>
      <c r="G1" s="47" t="s">
        <v>60</v>
      </c>
      <c r="H1" s="47" t="s">
        <v>61</v>
      </c>
      <c r="I1" s="47" t="s">
        <v>62</v>
      </c>
      <c r="J1" s="47" t="s">
        <v>63</v>
      </c>
      <c r="K1" s="47" t="s">
        <v>64</v>
      </c>
      <c r="L1" s="47" t="s">
        <v>65</v>
      </c>
      <c r="M1" s="47" t="s">
        <v>66</v>
      </c>
      <c r="N1" s="47" t="s">
        <v>67</v>
      </c>
      <c r="O1" s="47" t="s">
        <v>68</v>
      </c>
      <c r="P1" s="47" t="s">
        <v>69</v>
      </c>
      <c r="Q1" s="48" t="s">
        <v>70</v>
      </c>
    </row>
    <row r="2" spans="1:17">
      <c r="A2" s="50" t="s">
        <v>16</v>
      </c>
      <c r="B2" s="51" t="s">
        <v>71</v>
      </c>
      <c r="C2" s="52">
        <v>2009</v>
      </c>
      <c r="D2" s="53">
        <v>174870775.59</v>
      </c>
      <c r="E2" s="53">
        <v>173590951</v>
      </c>
      <c r="F2" s="53">
        <v>1145711.6000000001</v>
      </c>
      <c r="G2" s="53">
        <v>4488217.84</v>
      </c>
      <c r="H2" s="53">
        <v>71978043.109999999</v>
      </c>
      <c r="I2" s="53">
        <v>63349044.200000003</v>
      </c>
      <c r="J2" s="53">
        <v>24570687.370000001</v>
      </c>
      <c r="K2" s="53">
        <v>3253893.57</v>
      </c>
      <c r="L2" s="53">
        <v>1356728.13</v>
      </c>
      <c r="M2" s="53">
        <v>1306627.25</v>
      </c>
      <c r="N2" s="53">
        <v>1320427.3400000001</v>
      </c>
      <c r="O2" s="53">
        <v>1016660.17</v>
      </c>
      <c r="P2" s="53">
        <v>364313.15</v>
      </c>
      <c r="Q2" s="54">
        <v>428907.61</v>
      </c>
    </row>
    <row r="3" spans="1:17" ht="20.25" customHeight="1">
      <c r="A3" s="55"/>
      <c r="B3" s="56"/>
      <c r="C3" s="56"/>
      <c r="D3" s="65">
        <f>SUBTOTAL(9,D2:D2)</f>
        <v>174870775.59</v>
      </c>
      <c r="E3" s="65">
        <f t="shared" ref="E3:Q3" si="0">SUBTOTAL(9,E2:E2)</f>
        <v>173590951</v>
      </c>
      <c r="F3" s="65">
        <f t="shared" si="0"/>
        <v>1145711.6000000001</v>
      </c>
      <c r="G3" s="65">
        <f t="shared" si="0"/>
        <v>4488217.84</v>
      </c>
      <c r="H3" s="65">
        <f t="shared" si="0"/>
        <v>71978043.109999999</v>
      </c>
      <c r="I3" s="65">
        <f t="shared" si="0"/>
        <v>63349044.200000003</v>
      </c>
      <c r="J3" s="65">
        <f t="shared" si="0"/>
        <v>24570687.370000001</v>
      </c>
      <c r="K3" s="65">
        <f t="shared" si="0"/>
        <v>3253893.57</v>
      </c>
      <c r="L3" s="65">
        <f t="shared" si="0"/>
        <v>1356728.13</v>
      </c>
      <c r="M3" s="65">
        <f t="shared" si="0"/>
        <v>1306627.25</v>
      </c>
      <c r="N3" s="65">
        <f t="shared" si="0"/>
        <v>1320427.3400000001</v>
      </c>
      <c r="O3" s="65">
        <f t="shared" si="0"/>
        <v>1016660.17</v>
      </c>
      <c r="P3" s="65">
        <f t="shared" si="0"/>
        <v>364313.15</v>
      </c>
      <c r="Q3" s="65">
        <f t="shared" si="0"/>
        <v>428907.61</v>
      </c>
    </row>
    <row r="4" spans="1:17">
      <c r="A4" s="59" t="s">
        <v>0</v>
      </c>
      <c r="B4" s="51" t="s">
        <v>72</v>
      </c>
      <c r="C4" s="52">
        <v>2009</v>
      </c>
      <c r="D4" s="53">
        <v>4000</v>
      </c>
      <c r="E4" s="53">
        <v>4000</v>
      </c>
      <c r="F4" s="53">
        <v>0</v>
      </c>
      <c r="G4" s="53">
        <v>0</v>
      </c>
      <c r="H4" s="53">
        <v>1000</v>
      </c>
      <c r="I4" s="53">
        <v>500</v>
      </c>
      <c r="J4" s="53">
        <v>0</v>
      </c>
      <c r="K4" s="53">
        <v>1000</v>
      </c>
      <c r="L4" s="53">
        <v>500</v>
      </c>
      <c r="M4" s="53">
        <v>500</v>
      </c>
      <c r="N4" s="53">
        <v>0</v>
      </c>
      <c r="O4" s="53">
        <v>0</v>
      </c>
      <c r="P4" s="53">
        <v>0</v>
      </c>
      <c r="Q4" s="54">
        <v>500</v>
      </c>
    </row>
    <row r="5" spans="1:17">
      <c r="A5" s="60"/>
      <c r="B5" s="51" t="s">
        <v>73</v>
      </c>
      <c r="C5" s="52">
        <v>2009</v>
      </c>
      <c r="D5" s="53">
        <v>279457.14</v>
      </c>
      <c r="E5" s="53">
        <v>646650</v>
      </c>
      <c r="F5" s="53">
        <v>44900.3</v>
      </c>
      <c r="G5" s="53">
        <v>23357</v>
      </c>
      <c r="H5" s="53">
        <v>12105</v>
      </c>
      <c r="I5" s="53">
        <v>50833</v>
      </c>
      <c r="J5" s="53">
        <v>16483.8</v>
      </c>
      <c r="K5" s="53">
        <v>14535</v>
      </c>
      <c r="L5" s="53">
        <v>28246</v>
      </c>
      <c r="M5" s="53">
        <v>16882.400000000001</v>
      </c>
      <c r="N5" s="53">
        <v>15760.24</v>
      </c>
      <c r="O5" s="53">
        <v>27793.4</v>
      </c>
      <c r="P5" s="53">
        <v>13563</v>
      </c>
      <c r="Q5" s="54">
        <v>15023</v>
      </c>
    </row>
    <row r="6" spans="1:17" ht="20.25" customHeight="1">
      <c r="A6" s="55"/>
      <c r="B6" s="56"/>
      <c r="C6" s="56"/>
      <c r="D6" s="65">
        <f>SUBTOTAL(9,D4:D5)</f>
        <v>283457.14</v>
      </c>
      <c r="E6" s="65">
        <f t="shared" ref="E6:Q6" si="1">SUBTOTAL(9,E4:E5)</f>
        <v>650650</v>
      </c>
      <c r="F6" s="65">
        <f t="shared" si="1"/>
        <v>44900.3</v>
      </c>
      <c r="G6" s="65">
        <f t="shared" si="1"/>
        <v>23357</v>
      </c>
      <c r="H6" s="65">
        <f t="shared" si="1"/>
        <v>13105</v>
      </c>
      <c r="I6" s="65">
        <f t="shared" si="1"/>
        <v>51333</v>
      </c>
      <c r="J6" s="65">
        <f t="shared" si="1"/>
        <v>16483.8</v>
      </c>
      <c r="K6" s="65">
        <f t="shared" si="1"/>
        <v>15535</v>
      </c>
      <c r="L6" s="65">
        <f t="shared" si="1"/>
        <v>28746</v>
      </c>
      <c r="M6" s="65">
        <f t="shared" si="1"/>
        <v>17382.400000000001</v>
      </c>
      <c r="N6" s="65">
        <f t="shared" si="1"/>
        <v>15760.24</v>
      </c>
      <c r="O6" s="65">
        <f t="shared" si="1"/>
        <v>27793.4</v>
      </c>
      <c r="P6" s="65">
        <f t="shared" si="1"/>
        <v>13563</v>
      </c>
      <c r="Q6" s="65">
        <f t="shared" si="1"/>
        <v>15523</v>
      </c>
    </row>
    <row r="7" spans="1:17">
      <c r="A7" s="59" t="s">
        <v>17</v>
      </c>
      <c r="B7" s="51" t="s">
        <v>74</v>
      </c>
      <c r="C7" s="52">
        <v>2009</v>
      </c>
      <c r="D7" s="53">
        <v>2098484.2799999998</v>
      </c>
      <c r="E7" s="53">
        <v>1193887</v>
      </c>
      <c r="F7" s="53">
        <v>66582.399999999994</v>
      </c>
      <c r="G7" s="53">
        <v>614602.6</v>
      </c>
      <c r="H7" s="53">
        <v>90282.46</v>
      </c>
      <c r="I7" s="53">
        <v>196206.1</v>
      </c>
      <c r="J7" s="53">
        <v>58461.120000000003</v>
      </c>
      <c r="K7" s="53">
        <v>88213.13</v>
      </c>
      <c r="L7" s="53">
        <v>196742.47</v>
      </c>
      <c r="M7" s="53">
        <v>53715.54</v>
      </c>
      <c r="N7" s="53">
        <v>61579.91</v>
      </c>
      <c r="O7" s="53">
        <v>303531.05</v>
      </c>
      <c r="P7" s="53">
        <v>63592.14</v>
      </c>
      <c r="Q7" s="54">
        <v>77359.399999999994</v>
      </c>
    </row>
    <row r="8" spans="1:17">
      <c r="A8" s="61"/>
      <c r="B8" s="51" t="s">
        <v>118</v>
      </c>
      <c r="C8" s="52">
        <v>2009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4">
        <v>0</v>
      </c>
    </row>
    <row r="9" spans="1:17">
      <c r="A9" s="61"/>
      <c r="B9" s="51" t="s">
        <v>128</v>
      </c>
      <c r="C9" s="52">
        <v>2009</v>
      </c>
      <c r="D9" s="53">
        <v>243360.79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278563.34000000003</v>
      </c>
      <c r="O9" s="53">
        <v>-35202.550000000003</v>
      </c>
      <c r="P9" s="53">
        <v>0</v>
      </c>
      <c r="Q9" s="54">
        <v>0</v>
      </c>
    </row>
    <row r="10" spans="1:17">
      <c r="A10" s="61"/>
      <c r="B10" s="51" t="s">
        <v>75</v>
      </c>
      <c r="C10" s="52">
        <v>2009</v>
      </c>
      <c r="D10" s="53">
        <v>0</v>
      </c>
      <c r="E10" s="53">
        <v>54000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4">
        <v>0</v>
      </c>
    </row>
    <row r="11" spans="1:17">
      <c r="A11" s="61"/>
      <c r="B11" s="51" t="s">
        <v>76</v>
      </c>
      <c r="C11" s="52">
        <v>2009</v>
      </c>
      <c r="D11" s="53">
        <v>9030366.3100000005</v>
      </c>
      <c r="E11" s="53">
        <v>6478321</v>
      </c>
      <c r="F11" s="53">
        <v>601188.32999999996</v>
      </c>
      <c r="G11" s="53">
        <v>244218.16</v>
      </c>
      <c r="H11" s="53">
        <v>1070639.8700000001</v>
      </c>
      <c r="I11" s="53">
        <v>822108.51</v>
      </c>
      <c r="J11" s="53">
        <v>1218597.3400000001</v>
      </c>
      <c r="K11" s="53">
        <v>350892.9</v>
      </c>
      <c r="L11" s="53">
        <v>938132.94</v>
      </c>
      <c r="M11" s="53">
        <v>431312.38</v>
      </c>
      <c r="N11" s="53">
        <v>933997.95</v>
      </c>
      <c r="O11" s="53">
        <v>406184.05</v>
      </c>
      <c r="P11" s="53">
        <v>636433.12</v>
      </c>
      <c r="Q11" s="54">
        <v>1326856.79</v>
      </c>
    </row>
    <row r="12" spans="1:17">
      <c r="A12" s="60"/>
      <c r="B12" s="51" t="s">
        <v>77</v>
      </c>
      <c r="C12" s="52">
        <v>2009</v>
      </c>
      <c r="D12" s="53">
        <v>7292759.4500000002</v>
      </c>
      <c r="E12" s="53">
        <v>1997274</v>
      </c>
      <c r="F12" s="53">
        <v>2527252.3199999998</v>
      </c>
      <c r="G12" s="53">
        <v>0</v>
      </c>
      <c r="H12" s="53">
        <v>0</v>
      </c>
      <c r="I12" s="53">
        <v>499759.9</v>
      </c>
      <c r="J12" s="53">
        <v>0</v>
      </c>
      <c r="K12" s="53">
        <v>36319.03</v>
      </c>
      <c r="L12" s="53">
        <v>498959.58</v>
      </c>
      <c r="M12" s="53">
        <v>0</v>
      </c>
      <c r="N12" s="53">
        <v>0</v>
      </c>
      <c r="O12" s="53">
        <v>540094.01</v>
      </c>
      <c r="P12" s="53">
        <v>0</v>
      </c>
      <c r="Q12" s="54">
        <v>3190374.61</v>
      </c>
    </row>
    <row r="13" spans="1:17" ht="20.25" customHeight="1">
      <c r="A13" s="55"/>
      <c r="B13" s="56"/>
      <c r="C13" s="56"/>
      <c r="D13" s="65">
        <f>SUBTOTAL(9,D7:D12)</f>
        <v>18664970.830000002</v>
      </c>
      <c r="E13" s="65">
        <f t="shared" ref="E13:Q13" si="2">SUBTOTAL(9,E7:E12)</f>
        <v>9723482</v>
      </c>
      <c r="F13" s="65">
        <f t="shared" si="2"/>
        <v>3195023.05</v>
      </c>
      <c r="G13" s="65">
        <f t="shared" si="2"/>
        <v>858820.76</v>
      </c>
      <c r="H13" s="65">
        <f t="shared" si="2"/>
        <v>1160922.33</v>
      </c>
      <c r="I13" s="65">
        <f t="shared" si="2"/>
        <v>1518074.51</v>
      </c>
      <c r="J13" s="65">
        <f t="shared" si="2"/>
        <v>1277058.4600000002</v>
      </c>
      <c r="K13" s="65">
        <f t="shared" si="2"/>
        <v>475425.06000000006</v>
      </c>
      <c r="L13" s="65">
        <f t="shared" si="2"/>
        <v>1633834.99</v>
      </c>
      <c r="M13" s="65">
        <f t="shared" si="2"/>
        <v>485027.92</v>
      </c>
      <c r="N13" s="65">
        <f t="shared" si="2"/>
        <v>1274141.2</v>
      </c>
      <c r="O13" s="65">
        <f t="shared" si="2"/>
        <v>1214606.56</v>
      </c>
      <c r="P13" s="65">
        <f t="shared" si="2"/>
        <v>700025.26</v>
      </c>
      <c r="Q13" s="65">
        <f t="shared" si="2"/>
        <v>4594590.8</v>
      </c>
    </row>
    <row r="14" spans="1:17">
      <c r="A14" s="59" t="s">
        <v>20</v>
      </c>
      <c r="B14" s="51" t="s">
        <v>78</v>
      </c>
      <c r="C14" s="52">
        <v>2009</v>
      </c>
      <c r="D14" s="53">
        <v>7382641.2300000004</v>
      </c>
      <c r="E14" s="53">
        <v>8056185</v>
      </c>
      <c r="F14" s="53">
        <v>651444.59</v>
      </c>
      <c r="G14" s="53">
        <v>615288.93999999994</v>
      </c>
      <c r="H14" s="53">
        <v>453200.65</v>
      </c>
      <c r="I14" s="53">
        <v>1388208.69</v>
      </c>
      <c r="J14" s="53">
        <v>317461.11</v>
      </c>
      <c r="K14" s="53">
        <v>550800.44999999995</v>
      </c>
      <c r="L14" s="53">
        <v>703514.64</v>
      </c>
      <c r="M14" s="53">
        <v>256184.19</v>
      </c>
      <c r="N14" s="53">
        <v>546862.93000000005</v>
      </c>
      <c r="O14" s="53">
        <v>860630.89</v>
      </c>
      <c r="P14" s="53">
        <v>424204.06</v>
      </c>
      <c r="Q14" s="54">
        <v>412243.19</v>
      </c>
    </row>
    <row r="15" spans="1:17">
      <c r="A15" s="61"/>
      <c r="B15" s="51" t="s">
        <v>79</v>
      </c>
      <c r="C15" s="52">
        <v>2009</v>
      </c>
      <c r="D15" s="53">
        <v>5947584.04</v>
      </c>
      <c r="E15" s="53">
        <v>5154510</v>
      </c>
      <c r="F15" s="53">
        <v>425350.86</v>
      </c>
      <c r="G15" s="53">
        <v>388934.89</v>
      </c>
      <c r="H15" s="53">
        <v>436579.68</v>
      </c>
      <c r="I15" s="53">
        <v>525037.80000000005</v>
      </c>
      <c r="J15" s="53">
        <v>582731.18000000005</v>
      </c>
      <c r="K15" s="53">
        <v>449240.43</v>
      </c>
      <c r="L15" s="53">
        <v>526395.86</v>
      </c>
      <c r="M15" s="53">
        <v>471226.46</v>
      </c>
      <c r="N15" s="53">
        <v>505244.03</v>
      </c>
      <c r="O15" s="53">
        <v>506405.14</v>
      </c>
      <c r="P15" s="53">
        <v>441278.5</v>
      </c>
      <c r="Q15" s="54">
        <v>642621.78</v>
      </c>
    </row>
    <row r="16" spans="1:17">
      <c r="A16" s="61"/>
      <c r="B16" s="51" t="s">
        <v>80</v>
      </c>
      <c r="C16" s="52">
        <v>2009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4">
        <v>0</v>
      </c>
    </row>
    <row r="17" spans="1:17">
      <c r="A17" s="61"/>
      <c r="B17" s="51" t="s">
        <v>81</v>
      </c>
      <c r="C17" s="52">
        <v>2009</v>
      </c>
      <c r="D17" s="53">
        <v>7810881.5599999996</v>
      </c>
      <c r="E17" s="53">
        <v>9901740</v>
      </c>
      <c r="F17" s="53">
        <v>420947.61</v>
      </c>
      <c r="G17" s="53">
        <v>456735.92</v>
      </c>
      <c r="H17" s="53">
        <v>449642.19</v>
      </c>
      <c r="I17" s="53">
        <v>492287.76</v>
      </c>
      <c r="J17" s="53">
        <v>656865.31000000006</v>
      </c>
      <c r="K17" s="53">
        <v>858917.75</v>
      </c>
      <c r="L17" s="53">
        <v>849350.37</v>
      </c>
      <c r="M17" s="53">
        <v>710832.78</v>
      </c>
      <c r="N17" s="53">
        <v>734074.16</v>
      </c>
      <c r="O17" s="53">
        <v>817171.21</v>
      </c>
      <c r="P17" s="53">
        <v>624515.77</v>
      </c>
      <c r="Q17" s="54">
        <v>701650.45</v>
      </c>
    </row>
    <row r="18" spans="1:17">
      <c r="A18" s="61"/>
      <c r="B18" s="51" t="s">
        <v>82</v>
      </c>
      <c r="C18" s="52">
        <v>2009</v>
      </c>
      <c r="D18" s="53">
        <v>26770</v>
      </c>
      <c r="E18" s="53">
        <v>20500</v>
      </c>
      <c r="F18" s="53">
        <v>2300</v>
      </c>
      <c r="G18" s="53">
        <v>1720</v>
      </c>
      <c r="H18" s="53">
        <v>1620</v>
      </c>
      <c r="I18" s="53">
        <v>1790</v>
      </c>
      <c r="J18" s="53">
        <v>2000</v>
      </c>
      <c r="K18" s="53">
        <v>1730</v>
      </c>
      <c r="L18" s="53">
        <v>2530</v>
      </c>
      <c r="M18" s="53">
        <v>2110</v>
      </c>
      <c r="N18" s="53">
        <v>2070</v>
      </c>
      <c r="O18" s="53">
        <v>2320</v>
      </c>
      <c r="P18" s="53">
        <v>3440</v>
      </c>
      <c r="Q18" s="54">
        <v>3140</v>
      </c>
    </row>
    <row r="19" spans="1:17">
      <c r="A19" s="61"/>
      <c r="B19" s="51" t="s">
        <v>83</v>
      </c>
      <c r="C19" s="52">
        <v>2009</v>
      </c>
      <c r="D19" s="53">
        <v>4773699.1399999997</v>
      </c>
      <c r="E19" s="53">
        <v>3948937</v>
      </c>
      <c r="F19" s="53">
        <v>26928.21</v>
      </c>
      <c r="G19" s="53">
        <v>391577.21</v>
      </c>
      <c r="H19" s="53">
        <v>348736.81</v>
      </c>
      <c r="I19" s="53">
        <v>374715.06</v>
      </c>
      <c r="J19" s="53">
        <v>501659.5</v>
      </c>
      <c r="K19" s="53">
        <v>445172.98</v>
      </c>
      <c r="L19" s="53">
        <v>442735.13</v>
      </c>
      <c r="M19" s="53">
        <v>369385.25</v>
      </c>
      <c r="N19" s="53">
        <v>391650.2</v>
      </c>
      <c r="O19" s="53">
        <v>367308.79999999999</v>
      </c>
      <c r="P19" s="53">
        <v>391053.69</v>
      </c>
      <c r="Q19" s="54">
        <v>366303.18</v>
      </c>
    </row>
    <row r="20" spans="1:17">
      <c r="A20" s="60"/>
      <c r="B20" s="51" t="s">
        <v>119</v>
      </c>
      <c r="C20" s="52">
        <v>2009</v>
      </c>
      <c r="D20" s="53">
        <v>12883347.74</v>
      </c>
      <c r="E20" s="53">
        <v>11575000</v>
      </c>
      <c r="F20" s="53">
        <v>530449.91</v>
      </c>
      <c r="G20" s="53">
        <v>382890.2</v>
      </c>
      <c r="H20" s="53">
        <v>463288.01</v>
      </c>
      <c r="I20" s="53">
        <v>2530284.1800000002</v>
      </c>
      <c r="J20" s="53">
        <v>2009922.96</v>
      </c>
      <c r="K20" s="53">
        <v>722790.25</v>
      </c>
      <c r="L20" s="53">
        <v>902081.95</v>
      </c>
      <c r="M20" s="53">
        <v>564944.5</v>
      </c>
      <c r="N20" s="53">
        <v>571158.30000000005</v>
      </c>
      <c r="O20" s="53">
        <v>680724.7</v>
      </c>
      <c r="P20" s="53">
        <v>2805965.71</v>
      </c>
      <c r="Q20" s="54">
        <v>655522.06999999995</v>
      </c>
    </row>
    <row r="21" spans="1:17" ht="20.25" customHeight="1">
      <c r="A21" s="55"/>
      <c r="B21" s="56"/>
      <c r="C21" s="56"/>
      <c r="D21" s="65">
        <f>SUBTOTAL(9,D14:D20)</f>
        <v>38824923.710000001</v>
      </c>
      <c r="E21" s="65">
        <f t="shared" ref="E21:Q21" si="3">SUBTOTAL(9,E14:E20)</f>
        <v>38656872</v>
      </c>
      <c r="F21" s="65">
        <f t="shared" si="3"/>
        <v>2057421.1800000002</v>
      </c>
      <c r="G21" s="65">
        <f t="shared" si="3"/>
        <v>2237147.16</v>
      </c>
      <c r="H21" s="65">
        <f t="shared" si="3"/>
        <v>2153067.34</v>
      </c>
      <c r="I21" s="65">
        <f t="shared" si="3"/>
        <v>5312323.49</v>
      </c>
      <c r="J21" s="65">
        <f t="shared" si="3"/>
        <v>4070640.06</v>
      </c>
      <c r="K21" s="65">
        <f t="shared" si="3"/>
        <v>3028651.86</v>
      </c>
      <c r="L21" s="65">
        <f t="shared" si="3"/>
        <v>3426607.95</v>
      </c>
      <c r="M21" s="65">
        <f t="shared" si="3"/>
        <v>2374683.1800000002</v>
      </c>
      <c r="N21" s="65">
        <f t="shared" si="3"/>
        <v>2751059.62</v>
      </c>
      <c r="O21" s="65">
        <f t="shared" si="3"/>
        <v>3234560.74</v>
      </c>
      <c r="P21" s="65">
        <f t="shared" si="3"/>
        <v>4690457.7300000004</v>
      </c>
      <c r="Q21" s="65">
        <f t="shared" si="3"/>
        <v>2781480.67</v>
      </c>
    </row>
    <row r="22" spans="1:17">
      <c r="A22" s="50" t="s">
        <v>22</v>
      </c>
      <c r="B22" s="51" t="s">
        <v>84</v>
      </c>
      <c r="C22" s="52">
        <v>2009</v>
      </c>
      <c r="D22" s="53">
        <v>4484058.21</v>
      </c>
      <c r="E22" s="53">
        <v>4675500</v>
      </c>
      <c r="F22" s="53">
        <v>294683.21000000002</v>
      </c>
      <c r="G22" s="53">
        <v>354229.37</v>
      </c>
      <c r="H22" s="53">
        <v>376317.19</v>
      </c>
      <c r="I22" s="53">
        <v>334804.59000000003</v>
      </c>
      <c r="J22" s="53">
        <v>396731.22</v>
      </c>
      <c r="K22" s="53">
        <v>380303.67</v>
      </c>
      <c r="L22" s="53">
        <v>391279.93</v>
      </c>
      <c r="M22" s="53">
        <v>438583.02</v>
      </c>
      <c r="N22" s="53">
        <v>362449.25</v>
      </c>
      <c r="O22" s="53">
        <v>325161.78999999998</v>
      </c>
      <c r="P22" s="53">
        <v>322812.46999999997</v>
      </c>
      <c r="Q22" s="54">
        <v>444696.36</v>
      </c>
    </row>
    <row r="23" spans="1:17" ht="20.25" customHeight="1">
      <c r="A23" s="55"/>
      <c r="B23" s="56"/>
      <c r="C23" s="56"/>
      <c r="D23" s="65">
        <f>SUBTOTAL(9,D22:D22)</f>
        <v>4484058.21</v>
      </c>
      <c r="E23" s="65">
        <f t="shared" ref="E23:Q23" si="4">SUBTOTAL(9,E22:E22)</f>
        <v>4675500</v>
      </c>
      <c r="F23" s="65">
        <f t="shared" si="4"/>
        <v>294683.21000000002</v>
      </c>
      <c r="G23" s="65">
        <f t="shared" si="4"/>
        <v>354229.37</v>
      </c>
      <c r="H23" s="65">
        <f t="shared" si="4"/>
        <v>376317.19</v>
      </c>
      <c r="I23" s="65">
        <f t="shared" si="4"/>
        <v>334804.59000000003</v>
      </c>
      <c r="J23" s="65">
        <f t="shared" si="4"/>
        <v>396731.22</v>
      </c>
      <c r="K23" s="65">
        <f t="shared" si="4"/>
        <v>380303.67</v>
      </c>
      <c r="L23" s="65">
        <f t="shared" si="4"/>
        <v>391279.93</v>
      </c>
      <c r="M23" s="65">
        <f t="shared" si="4"/>
        <v>438583.02</v>
      </c>
      <c r="N23" s="65">
        <f t="shared" si="4"/>
        <v>362449.25</v>
      </c>
      <c r="O23" s="65">
        <f t="shared" si="4"/>
        <v>325161.78999999998</v>
      </c>
      <c r="P23" s="65">
        <f t="shared" si="4"/>
        <v>322812.46999999997</v>
      </c>
      <c r="Q23" s="65">
        <f t="shared" si="4"/>
        <v>444696.36</v>
      </c>
    </row>
    <row r="24" spans="1:17">
      <c r="A24" s="59" t="s">
        <v>18</v>
      </c>
      <c r="B24" s="51" t="s">
        <v>85</v>
      </c>
      <c r="C24" s="52">
        <v>2009</v>
      </c>
      <c r="D24" s="53">
        <v>7526418.0199999996</v>
      </c>
      <c r="E24" s="53">
        <v>7857100</v>
      </c>
      <c r="F24" s="53">
        <v>142767.26999999999</v>
      </c>
      <c r="G24" s="53">
        <v>553011.5</v>
      </c>
      <c r="H24" s="53">
        <v>1423742.88</v>
      </c>
      <c r="I24" s="53">
        <v>594447.04</v>
      </c>
      <c r="J24" s="53">
        <v>387380.07</v>
      </c>
      <c r="K24" s="53">
        <v>741209.63</v>
      </c>
      <c r="L24" s="53">
        <v>466647.98</v>
      </c>
      <c r="M24" s="53">
        <v>383513.01</v>
      </c>
      <c r="N24" s="53">
        <v>849961.38</v>
      </c>
      <c r="O24" s="53">
        <v>332083.20000000001</v>
      </c>
      <c r="P24" s="53">
        <v>303048.02</v>
      </c>
      <c r="Q24" s="54">
        <v>799989.03</v>
      </c>
    </row>
    <row r="25" spans="1:17">
      <c r="A25" s="60"/>
      <c r="B25" s="51" t="s">
        <v>86</v>
      </c>
      <c r="C25" s="52">
        <v>2009</v>
      </c>
      <c r="D25" s="53">
        <v>1348666.71</v>
      </c>
      <c r="E25" s="53">
        <v>1273574</v>
      </c>
      <c r="F25" s="53">
        <v>103018.69</v>
      </c>
      <c r="G25" s="53">
        <v>112939.74</v>
      </c>
      <c r="H25" s="53">
        <v>110914.74</v>
      </c>
      <c r="I25" s="53">
        <v>105153.66</v>
      </c>
      <c r="J25" s="53">
        <v>107859.69</v>
      </c>
      <c r="K25" s="53">
        <v>123428.66</v>
      </c>
      <c r="L25" s="53">
        <v>122191.75</v>
      </c>
      <c r="M25" s="53">
        <v>109448.63</v>
      </c>
      <c r="N25" s="53">
        <v>115678.69</v>
      </c>
      <c r="O25" s="53">
        <v>115025.66</v>
      </c>
      <c r="P25" s="53">
        <v>107051.72</v>
      </c>
      <c r="Q25" s="54">
        <v>112745.66</v>
      </c>
    </row>
    <row r="26" spans="1:17" ht="20.25" customHeight="1">
      <c r="A26" s="55"/>
      <c r="B26" s="56"/>
      <c r="C26" s="56"/>
      <c r="D26" s="65">
        <f>SUBTOTAL(9,D24:D25)</f>
        <v>8875084.7300000004</v>
      </c>
      <c r="E26" s="65">
        <f t="shared" ref="E26:Q26" si="5">SUBTOTAL(9,E24:E25)</f>
        <v>9130674</v>
      </c>
      <c r="F26" s="65">
        <f t="shared" si="5"/>
        <v>245785.96</v>
      </c>
      <c r="G26" s="65">
        <f t="shared" si="5"/>
        <v>665951.24</v>
      </c>
      <c r="H26" s="65">
        <f t="shared" si="5"/>
        <v>1534657.6199999999</v>
      </c>
      <c r="I26" s="65">
        <f t="shared" si="5"/>
        <v>699600.70000000007</v>
      </c>
      <c r="J26" s="65">
        <f t="shared" si="5"/>
        <v>495239.76</v>
      </c>
      <c r="K26" s="65">
        <f t="shared" si="5"/>
        <v>864638.29</v>
      </c>
      <c r="L26" s="65">
        <f t="shared" si="5"/>
        <v>588839.73</v>
      </c>
      <c r="M26" s="65">
        <f t="shared" si="5"/>
        <v>492961.64</v>
      </c>
      <c r="N26" s="65">
        <f t="shared" si="5"/>
        <v>965640.07000000007</v>
      </c>
      <c r="O26" s="65">
        <f t="shared" si="5"/>
        <v>447108.86</v>
      </c>
      <c r="P26" s="65">
        <f t="shared" si="5"/>
        <v>410099.74</v>
      </c>
      <c r="Q26" s="65">
        <f t="shared" si="5"/>
        <v>912734.69000000006</v>
      </c>
    </row>
    <row r="27" spans="1:17">
      <c r="A27" s="59" t="s">
        <v>21</v>
      </c>
      <c r="B27" s="51" t="s">
        <v>120</v>
      </c>
      <c r="C27" s="52">
        <v>2009</v>
      </c>
      <c r="D27" s="53">
        <v>2718743.75</v>
      </c>
      <c r="E27" s="53">
        <v>0</v>
      </c>
      <c r="F27" s="53">
        <v>223032.01</v>
      </c>
      <c r="G27" s="53">
        <v>222101.24</v>
      </c>
      <c r="H27" s="53">
        <v>223905.83</v>
      </c>
      <c r="I27" s="53">
        <v>223050.63</v>
      </c>
      <c r="J27" s="53">
        <v>224732.29</v>
      </c>
      <c r="K27" s="53">
        <v>225100.63</v>
      </c>
      <c r="L27" s="53">
        <v>226337.58</v>
      </c>
      <c r="M27" s="53">
        <v>229305.97</v>
      </c>
      <c r="N27" s="53">
        <v>228178.43</v>
      </c>
      <c r="O27" s="53">
        <v>230240.81</v>
      </c>
      <c r="P27" s="53">
        <v>229939.71</v>
      </c>
      <c r="Q27" s="54">
        <v>232818.62</v>
      </c>
    </row>
    <row r="28" spans="1:17">
      <c r="A28" s="61"/>
      <c r="B28" s="51" t="s">
        <v>87</v>
      </c>
      <c r="C28" s="52">
        <v>2009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4">
        <v>0</v>
      </c>
    </row>
    <row r="29" spans="1:17">
      <c r="A29" s="60"/>
      <c r="B29" s="51" t="s">
        <v>121</v>
      </c>
      <c r="C29" s="52">
        <v>2009</v>
      </c>
      <c r="D29" s="53">
        <v>18291009.18</v>
      </c>
      <c r="E29" s="53">
        <v>17006375</v>
      </c>
      <c r="F29" s="53">
        <v>305414.90999999997</v>
      </c>
      <c r="G29" s="53">
        <v>305670.03999999998</v>
      </c>
      <c r="H29" s="53">
        <v>393436.19</v>
      </c>
      <c r="I29" s="53">
        <v>280182.19</v>
      </c>
      <c r="J29" s="53">
        <v>301574.73</v>
      </c>
      <c r="K29" s="53">
        <v>13082318.460000001</v>
      </c>
      <c r="L29" s="53">
        <v>1819403.83</v>
      </c>
      <c r="M29" s="53">
        <v>310619.33</v>
      </c>
      <c r="N29" s="53">
        <v>407879.02</v>
      </c>
      <c r="O29" s="53">
        <v>325417.68</v>
      </c>
      <c r="P29" s="53">
        <v>333286.86</v>
      </c>
      <c r="Q29" s="54">
        <v>425805.94</v>
      </c>
    </row>
    <row r="30" spans="1:17" ht="20.25" customHeight="1">
      <c r="A30" s="55"/>
      <c r="B30" s="56"/>
      <c r="C30" s="56"/>
      <c r="D30" s="65">
        <f>SUBTOTAL(9,D27:D29)</f>
        <v>21009752.93</v>
      </c>
      <c r="E30" s="65">
        <f t="shared" ref="E30:Q30" si="6">SUBTOTAL(9,E27:E29)</f>
        <v>17006375</v>
      </c>
      <c r="F30" s="65">
        <f t="shared" si="6"/>
        <v>528446.91999999993</v>
      </c>
      <c r="G30" s="65">
        <f t="shared" si="6"/>
        <v>527771.28</v>
      </c>
      <c r="H30" s="65">
        <f t="shared" si="6"/>
        <v>617342.02</v>
      </c>
      <c r="I30" s="65">
        <f t="shared" si="6"/>
        <v>503232.82</v>
      </c>
      <c r="J30" s="65">
        <f t="shared" si="6"/>
        <v>526307.02</v>
      </c>
      <c r="K30" s="65">
        <f t="shared" si="6"/>
        <v>13307419.090000002</v>
      </c>
      <c r="L30" s="65">
        <f t="shared" si="6"/>
        <v>2045741.4100000001</v>
      </c>
      <c r="M30" s="65">
        <f t="shared" si="6"/>
        <v>539925.30000000005</v>
      </c>
      <c r="N30" s="65">
        <f t="shared" si="6"/>
        <v>636057.44999999995</v>
      </c>
      <c r="O30" s="65">
        <f t="shared" si="6"/>
        <v>555658.49</v>
      </c>
      <c r="P30" s="65">
        <f t="shared" si="6"/>
        <v>563226.56999999995</v>
      </c>
      <c r="Q30" s="65">
        <f t="shared" si="6"/>
        <v>658624.56000000006</v>
      </c>
    </row>
    <row r="31" spans="1:17">
      <c r="A31" s="59" t="s">
        <v>19</v>
      </c>
      <c r="B31" s="51" t="s">
        <v>88</v>
      </c>
      <c r="C31" s="52">
        <v>2009</v>
      </c>
      <c r="D31" s="53">
        <v>26659.53</v>
      </c>
      <c r="E31" s="53">
        <v>143140</v>
      </c>
      <c r="F31" s="53">
        <v>9662.24</v>
      </c>
      <c r="G31" s="53">
        <v>50</v>
      </c>
      <c r="H31" s="53">
        <v>305</v>
      </c>
      <c r="I31" s="53">
        <v>7133.62</v>
      </c>
      <c r="J31" s="53">
        <v>7808.67</v>
      </c>
      <c r="K31" s="53">
        <v>125</v>
      </c>
      <c r="L31" s="53">
        <v>245</v>
      </c>
      <c r="M31" s="53">
        <v>70</v>
      </c>
      <c r="N31" s="53">
        <v>285</v>
      </c>
      <c r="O31" s="53">
        <v>665</v>
      </c>
      <c r="P31" s="53">
        <v>235</v>
      </c>
      <c r="Q31" s="54">
        <v>75</v>
      </c>
    </row>
    <row r="32" spans="1:17">
      <c r="A32" s="61"/>
      <c r="B32" s="51" t="s">
        <v>89</v>
      </c>
      <c r="C32" s="52">
        <v>2009</v>
      </c>
      <c r="D32" s="53">
        <v>1917882.53</v>
      </c>
      <c r="E32" s="53">
        <v>776022</v>
      </c>
      <c r="F32" s="53">
        <v>81385.600000000006</v>
      </c>
      <c r="G32" s="53">
        <v>137533.79</v>
      </c>
      <c r="H32" s="53">
        <v>45017.49</v>
      </c>
      <c r="I32" s="53">
        <v>43203.68</v>
      </c>
      <c r="J32" s="53">
        <v>114869.16</v>
      </c>
      <c r="K32" s="53">
        <v>43931.81</v>
      </c>
      <c r="L32" s="53">
        <v>40839.949999999997</v>
      </c>
      <c r="M32" s="53">
        <v>107724.57</v>
      </c>
      <c r="N32" s="53">
        <v>631520.57999999996</v>
      </c>
      <c r="O32" s="53">
        <v>397731.06</v>
      </c>
      <c r="P32" s="53">
        <v>128444.59</v>
      </c>
      <c r="Q32" s="54">
        <v>139325.85</v>
      </c>
    </row>
    <row r="33" spans="1:17">
      <c r="A33" s="61"/>
      <c r="B33" s="51" t="s">
        <v>122</v>
      </c>
      <c r="C33" s="52">
        <v>2009</v>
      </c>
      <c r="D33" s="53">
        <v>260542.59</v>
      </c>
      <c r="E33" s="53">
        <v>0</v>
      </c>
      <c r="F33" s="53">
        <v>134875.26999999999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45000</v>
      </c>
      <c r="N33" s="53">
        <v>0</v>
      </c>
      <c r="O33" s="53">
        <v>0</v>
      </c>
      <c r="P33" s="53">
        <v>0</v>
      </c>
      <c r="Q33" s="54">
        <v>80667.320000000007</v>
      </c>
    </row>
    <row r="34" spans="1:17">
      <c r="A34" s="61"/>
      <c r="B34" s="51" t="s">
        <v>90</v>
      </c>
      <c r="C34" s="52">
        <v>2009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4">
        <v>0</v>
      </c>
    </row>
    <row r="35" spans="1:17">
      <c r="A35" s="60"/>
      <c r="B35" s="51" t="s">
        <v>123</v>
      </c>
      <c r="C35" s="52">
        <v>2009</v>
      </c>
      <c r="D35" s="53">
        <v>72179.05</v>
      </c>
      <c r="E35" s="53">
        <v>127510</v>
      </c>
      <c r="F35" s="53">
        <v>2085.35</v>
      </c>
      <c r="G35" s="53">
        <v>2027.05</v>
      </c>
      <c r="H35" s="53">
        <v>5312.46</v>
      </c>
      <c r="I35" s="53">
        <v>20081.05</v>
      </c>
      <c r="J35" s="53">
        <v>3100.27</v>
      </c>
      <c r="K35" s="53">
        <v>142.59</v>
      </c>
      <c r="L35" s="53">
        <v>-2242.1999999999998</v>
      </c>
      <c r="M35" s="53">
        <v>16607.12</v>
      </c>
      <c r="N35" s="53">
        <v>4842.29</v>
      </c>
      <c r="O35" s="53">
        <v>11805.19</v>
      </c>
      <c r="P35" s="53">
        <v>2156.2199999999998</v>
      </c>
      <c r="Q35" s="54">
        <v>6261.66</v>
      </c>
    </row>
    <row r="36" spans="1:17" ht="20.25" customHeight="1">
      <c r="A36" s="55"/>
      <c r="B36" s="56"/>
      <c r="C36" s="56"/>
      <c r="D36" s="65">
        <f>SUBTOTAL(9,D31:D35)</f>
        <v>2277263.6999999997</v>
      </c>
      <c r="E36" s="65">
        <f t="shared" ref="E36:Q36" si="7">SUBTOTAL(9,E31:E35)</f>
        <v>1046672</v>
      </c>
      <c r="F36" s="65">
        <f t="shared" si="7"/>
        <v>228008.46</v>
      </c>
      <c r="G36" s="65">
        <f t="shared" si="7"/>
        <v>139610.84</v>
      </c>
      <c r="H36" s="65">
        <f t="shared" si="7"/>
        <v>50634.95</v>
      </c>
      <c r="I36" s="65">
        <f t="shared" si="7"/>
        <v>70418.350000000006</v>
      </c>
      <c r="J36" s="65">
        <f t="shared" si="7"/>
        <v>125778.1</v>
      </c>
      <c r="K36" s="65">
        <f t="shared" si="7"/>
        <v>44199.399999999994</v>
      </c>
      <c r="L36" s="65">
        <f t="shared" si="7"/>
        <v>38842.75</v>
      </c>
      <c r="M36" s="65">
        <f t="shared" si="7"/>
        <v>169401.69</v>
      </c>
      <c r="N36" s="65">
        <f t="shared" si="7"/>
        <v>636647.87</v>
      </c>
      <c r="O36" s="65">
        <f t="shared" si="7"/>
        <v>410201.25</v>
      </c>
      <c r="P36" s="65">
        <f t="shared" si="7"/>
        <v>130835.81</v>
      </c>
      <c r="Q36" s="65">
        <f t="shared" si="7"/>
        <v>226329.83000000002</v>
      </c>
    </row>
    <row r="37" spans="1:17">
      <c r="A37" s="59" t="s">
        <v>6</v>
      </c>
      <c r="B37" s="51" t="s">
        <v>124</v>
      </c>
      <c r="C37" s="52">
        <v>2009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4">
        <v>0</v>
      </c>
    </row>
    <row r="38" spans="1:17">
      <c r="A38" s="61"/>
      <c r="B38" s="51" t="s">
        <v>125</v>
      </c>
      <c r="C38" s="52">
        <v>2009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4">
        <v>0</v>
      </c>
    </row>
    <row r="39" spans="1:17">
      <c r="A39" s="61"/>
      <c r="B39" s="51" t="s">
        <v>126</v>
      </c>
      <c r="C39" s="52">
        <v>2009</v>
      </c>
      <c r="D39" s="53">
        <v>70169492.450000003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4">
        <v>70169492.450000003</v>
      </c>
    </row>
    <row r="40" spans="1:17">
      <c r="A40" s="61"/>
      <c r="B40" s="51" t="s">
        <v>129</v>
      </c>
      <c r="C40" s="52">
        <v>2009</v>
      </c>
      <c r="D40" s="53">
        <v>406584.52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69136.539999999994</v>
      </c>
      <c r="N40" s="53">
        <v>0</v>
      </c>
      <c r="O40" s="53">
        <v>105378.28</v>
      </c>
      <c r="P40" s="53">
        <v>0</v>
      </c>
      <c r="Q40" s="54">
        <v>0</v>
      </c>
    </row>
    <row r="41" spans="1:17">
      <c r="A41" s="61"/>
      <c r="B41" s="51" t="s">
        <v>91</v>
      </c>
      <c r="C41" s="52">
        <v>2009</v>
      </c>
      <c r="D41" s="53">
        <v>40179277.740000002</v>
      </c>
      <c r="E41" s="53">
        <v>9296688</v>
      </c>
      <c r="F41" s="53">
        <v>393424</v>
      </c>
      <c r="G41" s="53">
        <v>4073.92</v>
      </c>
      <c r="H41" s="53">
        <v>2000000</v>
      </c>
      <c r="I41" s="53">
        <v>6156000</v>
      </c>
      <c r="J41" s="53">
        <v>249000</v>
      </c>
      <c r="K41" s="53">
        <v>668245</v>
      </c>
      <c r="L41" s="53">
        <v>0</v>
      </c>
      <c r="M41" s="53">
        <v>10000</v>
      </c>
      <c r="N41" s="53">
        <v>512000</v>
      </c>
      <c r="O41" s="53">
        <v>0</v>
      </c>
      <c r="P41" s="53">
        <v>485591.01</v>
      </c>
      <c r="Q41" s="54">
        <v>25807280.5</v>
      </c>
    </row>
    <row r="42" spans="1:17">
      <c r="A42" s="60"/>
      <c r="B42" s="51" t="s">
        <v>92</v>
      </c>
      <c r="C42" s="52">
        <v>2009</v>
      </c>
      <c r="D42" s="53">
        <v>265540.83</v>
      </c>
      <c r="E42" s="53">
        <v>177000</v>
      </c>
      <c r="F42" s="53">
        <v>0</v>
      </c>
      <c r="G42" s="53">
        <v>0</v>
      </c>
      <c r="H42" s="53">
        <v>0</v>
      </c>
      <c r="I42" s="53">
        <v>0</v>
      </c>
      <c r="J42" s="53">
        <v>139026.4</v>
      </c>
      <c r="K42" s="53">
        <v>0</v>
      </c>
      <c r="L42" s="53">
        <v>16000</v>
      </c>
      <c r="M42" s="53">
        <v>20500</v>
      </c>
      <c r="N42" s="53">
        <v>14014.57</v>
      </c>
      <c r="O42" s="53">
        <v>0</v>
      </c>
      <c r="P42" s="53">
        <v>0</v>
      </c>
      <c r="Q42" s="54">
        <v>75999.86</v>
      </c>
    </row>
    <row r="43" spans="1:17" ht="20.25" customHeight="1">
      <c r="A43" s="55"/>
      <c r="B43" s="56"/>
      <c r="C43" s="56"/>
      <c r="D43" s="65">
        <f>SUBTOTAL(9,D37:D42)</f>
        <v>111020895.54000001</v>
      </c>
      <c r="E43" s="65">
        <f t="shared" ref="E43:Q43" si="8">SUBTOTAL(9,E37:E42)</f>
        <v>9473688</v>
      </c>
      <c r="F43" s="65">
        <f t="shared" si="8"/>
        <v>393424</v>
      </c>
      <c r="G43" s="65">
        <f t="shared" si="8"/>
        <v>4073.92</v>
      </c>
      <c r="H43" s="65">
        <f t="shared" si="8"/>
        <v>2000000</v>
      </c>
      <c r="I43" s="65">
        <f t="shared" si="8"/>
        <v>6156000</v>
      </c>
      <c r="J43" s="65">
        <f t="shared" si="8"/>
        <v>388026.4</v>
      </c>
      <c r="K43" s="65">
        <f t="shared" si="8"/>
        <v>668245</v>
      </c>
      <c r="L43" s="65">
        <f t="shared" si="8"/>
        <v>16000</v>
      </c>
      <c r="M43" s="65">
        <f t="shared" si="8"/>
        <v>99636.54</v>
      </c>
      <c r="N43" s="65">
        <f t="shared" si="8"/>
        <v>526014.56999999995</v>
      </c>
      <c r="O43" s="65">
        <f t="shared" si="8"/>
        <v>105378.28</v>
      </c>
      <c r="P43" s="65">
        <f t="shared" si="8"/>
        <v>485591.01</v>
      </c>
      <c r="Q43" s="65">
        <f t="shared" si="8"/>
        <v>96052772.810000002</v>
      </c>
    </row>
    <row r="44" spans="1:17" ht="20.25" customHeight="1">
      <c r="A44" s="62"/>
      <c r="B44" s="63"/>
      <c r="C44" s="63"/>
      <c r="D44" s="66">
        <f>SUBTOTAL(9,D2:D43)</f>
        <v>380311182.37999994</v>
      </c>
      <c r="E44" s="66">
        <f t="shared" ref="E44:Q44" si="9">SUBTOTAL(9,E2:E43)</f>
        <v>263954864</v>
      </c>
      <c r="F44" s="66">
        <f t="shared" si="9"/>
        <v>8133404.6799999988</v>
      </c>
      <c r="G44" s="66">
        <f t="shared" si="9"/>
        <v>9299179.4099999983</v>
      </c>
      <c r="H44" s="66">
        <f t="shared" si="9"/>
        <v>79884089.559999987</v>
      </c>
      <c r="I44" s="66">
        <f t="shared" si="9"/>
        <v>77994831.660000011</v>
      </c>
      <c r="J44" s="66">
        <f t="shared" si="9"/>
        <v>31866952.190000001</v>
      </c>
      <c r="K44" s="66">
        <f t="shared" si="9"/>
        <v>22038310.939999998</v>
      </c>
      <c r="L44" s="66">
        <f t="shared" si="9"/>
        <v>9526620.8900000006</v>
      </c>
      <c r="M44" s="66">
        <f t="shared" si="9"/>
        <v>5924228.9399999995</v>
      </c>
      <c r="N44" s="66">
        <f t="shared" si="9"/>
        <v>8488197.6099999994</v>
      </c>
      <c r="O44" s="66">
        <f t="shared" si="9"/>
        <v>7337129.54</v>
      </c>
      <c r="P44" s="66">
        <f t="shared" si="9"/>
        <v>7680924.7400000002</v>
      </c>
      <c r="Q44" s="66">
        <f t="shared" si="9"/>
        <v>106115660.33</v>
      </c>
    </row>
  </sheetData>
  <phoneticPr fontId="10" type="noConversion"/>
  <pageMargins left="0.248" right="0.22" top="1.07" bottom="0.76400000000000001" header="0.248" footer="0.22"/>
  <pageSetup orientation="landscape" horizontalDpi="1200" verticalDpi="1200" r:id="rId1"/>
  <headerFooter alignWithMargins="0">
    <oddHeader>&amp;L&amp;"Arial"&amp;10Detail Filter:  Fiscal Year  =  2009  and  Fund  =  001 &amp;C&amp;B&amp;"Times New Roman"&amp;14Collin County Actual Revenues and Original Revenue Budgets (Monthly Detail)&amp;R&amp;"Arial"&amp;8Date: 1/4/2010</oddHeader>
    <oddFooter>&amp;L&amp;C&amp;"Arial"&amp;10Page &amp;P&amp;R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showGridLines="0" topLeftCell="C1" workbookViewId="0">
      <selection activeCell="A2" sqref="A2"/>
    </sheetView>
  </sheetViews>
  <sheetFormatPr defaultRowHeight="15.75"/>
  <cols>
    <col min="1" max="1" width="7.5" customWidth="1"/>
    <col min="2" max="2" width="23.5" bestFit="1" customWidth="1"/>
    <col min="3" max="5" width="13.5" bestFit="1" customWidth="1"/>
    <col min="6" max="17" width="12.625" bestFit="1" customWidth="1"/>
  </cols>
  <sheetData>
    <row r="1" spans="1:17" s="49" customFormat="1" ht="38.25">
      <c r="A1" s="46" t="s">
        <v>96</v>
      </c>
      <c r="B1" s="46" t="s">
        <v>55</v>
      </c>
      <c r="C1" s="47" t="s">
        <v>97</v>
      </c>
      <c r="D1" s="47" t="s">
        <v>98</v>
      </c>
      <c r="E1" s="47" t="s">
        <v>99</v>
      </c>
      <c r="F1" s="47" t="s">
        <v>59</v>
      </c>
      <c r="G1" s="47" t="s">
        <v>60</v>
      </c>
      <c r="H1" s="47" t="s">
        <v>61</v>
      </c>
      <c r="I1" s="47" t="s">
        <v>62</v>
      </c>
      <c r="J1" s="47" t="s">
        <v>63</v>
      </c>
      <c r="K1" s="47" t="s">
        <v>64</v>
      </c>
      <c r="L1" s="47" t="s">
        <v>65</v>
      </c>
      <c r="M1" s="47" t="s">
        <v>66</v>
      </c>
      <c r="N1" s="46" t="s">
        <v>67</v>
      </c>
      <c r="O1" s="47" t="s">
        <v>68</v>
      </c>
      <c r="P1" s="47" t="s">
        <v>69</v>
      </c>
      <c r="Q1" s="48" t="s">
        <v>70</v>
      </c>
    </row>
    <row r="2" spans="1:17">
      <c r="A2" s="72">
        <v>80</v>
      </c>
      <c r="B2" s="59" t="s">
        <v>11</v>
      </c>
      <c r="C2" s="53">
        <v>351630</v>
      </c>
      <c r="D2" s="53">
        <v>525313</v>
      </c>
      <c r="E2" s="53">
        <v>333812.43</v>
      </c>
      <c r="F2" s="53">
        <v>12589.94</v>
      </c>
      <c r="G2" s="53">
        <v>23153.95</v>
      </c>
      <c r="H2" s="53">
        <v>29736.28</v>
      </c>
      <c r="I2" s="53">
        <v>31551.55</v>
      </c>
      <c r="J2" s="53">
        <v>21307.16</v>
      </c>
      <c r="K2" s="53">
        <v>44459.29</v>
      </c>
      <c r="L2" s="53">
        <v>18484.84</v>
      </c>
      <c r="M2" s="53">
        <v>19638.87</v>
      </c>
      <c r="N2" s="77">
        <v>21760.94</v>
      </c>
      <c r="O2" s="53">
        <v>28669.54</v>
      </c>
      <c r="P2" s="53">
        <v>23433.72</v>
      </c>
      <c r="Q2" s="54">
        <v>46391.97</v>
      </c>
    </row>
    <row r="3" spans="1:17">
      <c r="A3" s="72">
        <v>76</v>
      </c>
      <c r="B3" s="59" t="s">
        <v>8</v>
      </c>
      <c r="C3" s="53">
        <v>1209220</v>
      </c>
      <c r="D3" s="53">
        <v>1275791</v>
      </c>
      <c r="E3" s="53">
        <v>4004631.99</v>
      </c>
      <c r="F3" s="53">
        <v>21276.29</v>
      </c>
      <c r="G3" s="53">
        <v>132982.49</v>
      </c>
      <c r="H3" s="53">
        <v>164700.93</v>
      </c>
      <c r="I3" s="53">
        <v>93004.96</v>
      </c>
      <c r="J3" s="53">
        <v>1017722.81</v>
      </c>
      <c r="K3" s="53">
        <v>361842.59</v>
      </c>
      <c r="L3" s="53">
        <v>38096.120000000003</v>
      </c>
      <c r="M3" s="53">
        <v>138797.89000000001</v>
      </c>
      <c r="N3" s="77">
        <v>228115.45</v>
      </c>
      <c r="O3" s="53">
        <v>322124.43</v>
      </c>
      <c r="P3" s="53">
        <v>466143.26</v>
      </c>
      <c r="Q3" s="54">
        <v>997537.2</v>
      </c>
    </row>
    <row r="4" spans="1:17">
      <c r="A4" s="72">
        <v>85</v>
      </c>
      <c r="B4" s="59" t="s">
        <v>100</v>
      </c>
      <c r="C4" s="53">
        <v>42789548</v>
      </c>
      <c r="D4" s="53">
        <v>47916306</v>
      </c>
      <c r="E4" s="53">
        <v>47909045.829999998</v>
      </c>
      <c r="F4" s="53">
        <v>0</v>
      </c>
      <c r="G4" s="53">
        <v>0</v>
      </c>
      <c r="H4" s="53">
        <v>1000</v>
      </c>
      <c r="I4" s="53">
        <v>3425</v>
      </c>
      <c r="J4" s="53">
        <v>33968269.530000001</v>
      </c>
      <c r="K4" s="53">
        <v>38750</v>
      </c>
      <c r="L4" s="53">
        <v>700</v>
      </c>
      <c r="M4" s="53">
        <v>0</v>
      </c>
      <c r="N4" s="77">
        <v>0</v>
      </c>
      <c r="O4" s="53">
        <v>5788775.7199999997</v>
      </c>
      <c r="P4" s="53">
        <v>7206927.2800000003</v>
      </c>
      <c r="Q4" s="54">
        <v>901498.3</v>
      </c>
    </row>
    <row r="5" spans="1:17">
      <c r="A5" s="72">
        <v>60</v>
      </c>
      <c r="B5" s="59" t="s">
        <v>9</v>
      </c>
      <c r="C5" s="53">
        <v>3360551</v>
      </c>
      <c r="D5" s="53">
        <v>3318332</v>
      </c>
      <c r="E5" s="53">
        <v>3657753.12</v>
      </c>
      <c r="F5" s="53">
        <v>95635.25</v>
      </c>
      <c r="G5" s="53">
        <v>128779.75</v>
      </c>
      <c r="H5" s="53">
        <v>188894.75</v>
      </c>
      <c r="I5" s="53">
        <v>154360.07999999999</v>
      </c>
      <c r="J5" s="53">
        <v>158760.44</v>
      </c>
      <c r="K5" s="53">
        <v>818059.16</v>
      </c>
      <c r="L5" s="53">
        <v>311427.45</v>
      </c>
      <c r="M5" s="53">
        <v>644450.47</v>
      </c>
      <c r="N5" s="77">
        <v>261713.06</v>
      </c>
      <c r="O5" s="53">
        <v>223425.17</v>
      </c>
      <c r="P5" s="53">
        <v>173299.49</v>
      </c>
      <c r="Q5" s="54">
        <v>261765.44</v>
      </c>
    </row>
    <row r="6" spans="1:17">
      <c r="A6" s="72">
        <v>48</v>
      </c>
      <c r="B6" s="59" t="s">
        <v>47</v>
      </c>
      <c r="C6" s="53">
        <v>10906229</v>
      </c>
      <c r="D6" s="53">
        <v>11732575</v>
      </c>
      <c r="E6" s="53">
        <v>10410657.85</v>
      </c>
      <c r="F6" s="53">
        <v>353448.26</v>
      </c>
      <c r="G6" s="53">
        <v>531081.77</v>
      </c>
      <c r="H6" s="53">
        <v>549133.56000000006</v>
      </c>
      <c r="I6" s="53">
        <v>808986.07</v>
      </c>
      <c r="J6" s="53">
        <v>844067.08</v>
      </c>
      <c r="K6" s="53">
        <v>2062107.73</v>
      </c>
      <c r="L6" s="53">
        <v>558634.74</v>
      </c>
      <c r="M6" s="53">
        <v>634502.63</v>
      </c>
      <c r="N6" s="77">
        <v>939254.68</v>
      </c>
      <c r="O6" s="53">
        <v>843129.37</v>
      </c>
      <c r="P6" s="53">
        <v>882898.56</v>
      </c>
      <c r="Q6" s="54">
        <v>1169667.1299999999</v>
      </c>
    </row>
    <row r="7" spans="1:17">
      <c r="A7" s="72">
        <v>41</v>
      </c>
      <c r="B7" s="59" t="s">
        <v>46</v>
      </c>
      <c r="C7" s="53">
        <v>39128938</v>
      </c>
      <c r="D7" s="53">
        <v>41658952</v>
      </c>
      <c r="E7" s="53">
        <v>30181028.489999998</v>
      </c>
      <c r="F7" s="53">
        <v>2293622.46</v>
      </c>
      <c r="G7" s="53">
        <v>1749921.48</v>
      </c>
      <c r="H7" s="53">
        <v>1887904.14</v>
      </c>
      <c r="I7" s="53">
        <v>2435425.98</v>
      </c>
      <c r="J7" s="53">
        <v>1277556.8600000001</v>
      </c>
      <c r="K7" s="53">
        <v>5654340.4400000004</v>
      </c>
      <c r="L7" s="53">
        <v>3646453.33</v>
      </c>
      <c r="M7" s="53">
        <v>2146105.5699999998</v>
      </c>
      <c r="N7" s="77">
        <v>1401230.27</v>
      </c>
      <c r="O7" s="53">
        <v>2004202.2</v>
      </c>
      <c r="P7" s="53">
        <v>1400125.53</v>
      </c>
      <c r="Q7" s="54">
        <v>3496555.86</v>
      </c>
    </row>
    <row r="8" spans="1:17">
      <c r="A8" s="72">
        <v>72</v>
      </c>
      <c r="B8" s="59" t="s">
        <v>10</v>
      </c>
      <c r="C8" s="53">
        <v>17368061</v>
      </c>
      <c r="D8" s="53">
        <v>17937753</v>
      </c>
      <c r="E8" s="53">
        <v>18283944.579999998</v>
      </c>
      <c r="F8" s="53">
        <v>580055.13</v>
      </c>
      <c r="G8" s="53">
        <v>1160837.68</v>
      </c>
      <c r="H8" s="53">
        <v>1895554.62</v>
      </c>
      <c r="I8" s="53">
        <v>1324696.7</v>
      </c>
      <c r="J8" s="53">
        <v>1267956.51</v>
      </c>
      <c r="K8" s="53">
        <v>2347692.48</v>
      </c>
      <c r="L8" s="53">
        <v>785944.89</v>
      </c>
      <c r="M8" s="53">
        <v>1361192.07</v>
      </c>
      <c r="N8" s="77">
        <v>1409662.42</v>
      </c>
      <c r="O8" s="53">
        <v>1648601.23</v>
      </c>
      <c r="P8" s="53">
        <v>1417229.59</v>
      </c>
      <c r="Q8" s="54">
        <v>1771021.56</v>
      </c>
    </row>
    <row r="9" spans="1:17">
      <c r="A9" s="72">
        <v>44</v>
      </c>
      <c r="B9" s="59" t="s">
        <v>49</v>
      </c>
      <c r="C9" s="53">
        <v>17278014</v>
      </c>
      <c r="D9" s="53">
        <v>17898937</v>
      </c>
      <c r="E9" s="53">
        <v>15983802.82</v>
      </c>
      <c r="F9" s="53">
        <v>725967.83</v>
      </c>
      <c r="G9" s="53">
        <v>1005969.18</v>
      </c>
      <c r="H9" s="53">
        <v>1191217.51</v>
      </c>
      <c r="I9" s="53">
        <v>1545244.21</v>
      </c>
      <c r="J9" s="53">
        <v>1014771.21</v>
      </c>
      <c r="K9" s="53">
        <v>2827128.83</v>
      </c>
      <c r="L9" s="53">
        <v>1006056.56</v>
      </c>
      <c r="M9" s="53">
        <v>1032077.95</v>
      </c>
      <c r="N9" s="77">
        <v>1070910.93</v>
      </c>
      <c r="O9" s="53">
        <v>1529307.44</v>
      </c>
      <c r="P9" s="53">
        <v>1011640.43</v>
      </c>
      <c r="Q9" s="54">
        <v>1576450.57</v>
      </c>
    </row>
    <row r="10" spans="1:17">
      <c r="A10" s="72">
        <v>52</v>
      </c>
      <c r="B10" s="59" t="s">
        <v>50</v>
      </c>
      <c r="C10" s="53">
        <v>10462445</v>
      </c>
      <c r="D10" s="53">
        <v>10559987</v>
      </c>
      <c r="E10" s="53">
        <v>10543157.960000001</v>
      </c>
      <c r="F10" s="53">
        <v>436483.51</v>
      </c>
      <c r="G10" s="53">
        <v>681686.8</v>
      </c>
      <c r="H10" s="53">
        <v>716076.83</v>
      </c>
      <c r="I10" s="53">
        <v>1008821.96</v>
      </c>
      <c r="J10" s="53">
        <v>701923</v>
      </c>
      <c r="K10" s="53">
        <v>1690701.43</v>
      </c>
      <c r="L10" s="53">
        <v>707332.91</v>
      </c>
      <c r="M10" s="53">
        <v>744937.34</v>
      </c>
      <c r="N10" s="77">
        <v>697851.17</v>
      </c>
      <c r="O10" s="53">
        <v>1058803.1599999999</v>
      </c>
      <c r="P10" s="53">
        <v>740427.17</v>
      </c>
      <c r="Q10" s="54">
        <v>1031034.6</v>
      </c>
    </row>
    <row r="11" spans="1:17">
      <c r="A11" s="72">
        <v>56</v>
      </c>
      <c r="B11" s="59" t="s">
        <v>7</v>
      </c>
      <c r="C11" s="53">
        <v>13483773</v>
      </c>
      <c r="D11" s="53">
        <v>25988724</v>
      </c>
      <c r="E11" s="53">
        <v>20350117.579999998</v>
      </c>
      <c r="F11" s="53">
        <v>516686.93</v>
      </c>
      <c r="G11" s="53">
        <v>767966.6</v>
      </c>
      <c r="H11" s="53">
        <v>3436698.97</v>
      </c>
      <c r="I11" s="53">
        <v>1931022.46</v>
      </c>
      <c r="J11" s="53">
        <v>1859287.34</v>
      </c>
      <c r="K11" s="53">
        <v>3199968.24</v>
      </c>
      <c r="L11" s="53">
        <v>1673529.25</v>
      </c>
      <c r="M11" s="53">
        <v>1211183.97</v>
      </c>
      <c r="N11" s="77">
        <v>1436286.71</v>
      </c>
      <c r="O11" s="53">
        <v>839757.76</v>
      </c>
      <c r="P11" s="53">
        <v>1250742.3400000001</v>
      </c>
      <c r="Q11" s="54">
        <v>1382801.79</v>
      </c>
    </row>
    <row r="12" spans="1:17">
      <c r="A12" s="72">
        <v>64</v>
      </c>
      <c r="B12" s="59" t="s">
        <v>48</v>
      </c>
      <c r="C12" s="53">
        <v>65608655</v>
      </c>
      <c r="D12" s="53">
        <v>58058647</v>
      </c>
      <c r="E12" s="53">
        <v>64246611.439999998</v>
      </c>
      <c r="F12" s="53">
        <v>3065594.35</v>
      </c>
      <c r="G12" s="53">
        <v>4060418.8</v>
      </c>
      <c r="H12" s="53">
        <v>4808912.38</v>
      </c>
      <c r="I12" s="53">
        <v>6224369.7199999997</v>
      </c>
      <c r="J12" s="53">
        <v>4089413.34</v>
      </c>
      <c r="K12" s="53">
        <v>10317436.92</v>
      </c>
      <c r="L12" s="53">
        <v>4147684.23</v>
      </c>
      <c r="M12" s="53">
        <v>4129620.88</v>
      </c>
      <c r="N12" s="77">
        <v>4614017.3600000003</v>
      </c>
      <c r="O12" s="53">
        <v>6182886.6600000001</v>
      </c>
      <c r="P12" s="53">
        <v>4179166.42</v>
      </c>
      <c r="Q12" s="54">
        <v>6682975.8799999999</v>
      </c>
    </row>
    <row r="13" spans="1:17">
      <c r="A13" s="72">
        <v>68</v>
      </c>
      <c r="B13" s="59" t="s">
        <v>101</v>
      </c>
      <c r="C13" s="53">
        <v>19861346</v>
      </c>
      <c r="D13" s="53">
        <v>38533167</v>
      </c>
      <c r="E13" s="53">
        <v>58014393.93</v>
      </c>
      <c r="F13" s="53">
        <v>4054656.81</v>
      </c>
      <c r="G13" s="53">
        <v>4829304.57</v>
      </c>
      <c r="H13" s="53">
        <v>2673721.27</v>
      </c>
      <c r="I13" s="53">
        <v>1207535</v>
      </c>
      <c r="J13" s="53">
        <v>2158980.52</v>
      </c>
      <c r="K13" s="53">
        <v>8545965.9800000004</v>
      </c>
      <c r="L13" s="53">
        <v>1759771.5</v>
      </c>
      <c r="M13" s="53">
        <v>10726877.92</v>
      </c>
      <c r="N13" s="77">
        <v>5598432.2400000002</v>
      </c>
      <c r="O13" s="53">
        <v>5953664.5499999998</v>
      </c>
      <c r="P13" s="53">
        <v>2429320.04</v>
      </c>
      <c r="Q13" s="54">
        <v>6303388.4400000004</v>
      </c>
    </row>
    <row r="14" spans="1:17">
      <c r="A14" s="73">
        <v>88</v>
      </c>
      <c r="B14" s="50" t="s">
        <v>12</v>
      </c>
      <c r="C14" s="53">
        <v>27673796</v>
      </c>
      <c r="D14" s="53">
        <v>70249042</v>
      </c>
      <c r="E14" s="53">
        <v>87668308.099999994</v>
      </c>
      <c r="F14" s="53">
        <v>853659.11</v>
      </c>
      <c r="G14" s="53">
        <v>678370.6</v>
      </c>
      <c r="H14" s="53">
        <v>4077943.58</v>
      </c>
      <c r="I14" s="53">
        <v>8343522.0999999996</v>
      </c>
      <c r="J14" s="53">
        <v>2002298.35</v>
      </c>
      <c r="K14" s="53">
        <v>2400359.94</v>
      </c>
      <c r="L14" s="53">
        <v>2162940.52</v>
      </c>
      <c r="M14" s="53">
        <v>1934197.96</v>
      </c>
      <c r="N14" s="78">
        <v>2260550.12</v>
      </c>
      <c r="O14" s="53">
        <v>2166526.48</v>
      </c>
      <c r="P14" s="53">
        <v>2068197.79</v>
      </c>
      <c r="Q14" s="54">
        <v>52311326.57</v>
      </c>
    </row>
    <row r="15" spans="1:17">
      <c r="A15" s="74"/>
      <c r="B15" s="75"/>
      <c r="C15" s="76">
        <f>SUBTOTAL(9,C2:C14)</f>
        <v>269482206</v>
      </c>
      <c r="D15" s="76">
        <f t="shared" ref="D15:Q15" si="0">SUBTOTAL(9,D2:D14)</f>
        <v>345653526</v>
      </c>
      <c r="E15" s="76">
        <f t="shared" si="0"/>
        <v>371587266.12</v>
      </c>
      <c r="F15" s="76">
        <f t="shared" si="0"/>
        <v>13009675.869999999</v>
      </c>
      <c r="G15" s="76">
        <f t="shared" si="0"/>
        <v>15750473.67</v>
      </c>
      <c r="H15" s="76">
        <f t="shared" si="0"/>
        <v>21621494.82</v>
      </c>
      <c r="I15" s="76">
        <f t="shared" si="0"/>
        <v>25111965.789999999</v>
      </c>
      <c r="J15" s="76">
        <f t="shared" si="0"/>
        <v>50382314.150000006</v>
      </c>
      <c r="K15" s="76">
        <f t="shared" si="0"/>
        <v>40308813.030000001</v>
      </c>
      <c r="L15" s="76">
        <f t="shared" si="0"/>
        <v>16817056.34</v>
      </c>
      <c r="M15" s="76">
        <f t="shared" si="0"/>
        <v>24723583.520000003</v>
      </c>
      <c r="N15" s="76">
        <f t="shared" si="0"/>
        <v>19939785.350000001</v>
      </c>
      <c r="O15" s="76">
        <f t="shared" si="0"/>
        <v>28589873.710000001</v>
      </c>
      <c r="P15" s="76">
        <f t="shared" si="0"/>
        <v>23249551.619999997</v>
      </c>
      <c r="Q15" s="76">
        <f t="shared" si="0"/>
        <v>77932415.310000002</v>
      </c>
    </row>
    <row r="16" spans="1:17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</row>
  </sheetData>
  <phoneticPr fontId="12" type="noConversion"/>
  <pageMargins left="0.39300000000000002" right="0.39300000000000002" top="1.2150000000000001" bottom="0.93799999999999994" header="0.39300000000000002" footer="0.39300000000000002"/>
  <pageSetup orientation="landscape" horizontalDpi="1200" verticalDpi="1200" r:id="rId1"/>
  <headerFooter alignWithMargins="0">
    <oddHeader>&amp;L&amp;B&amp;"Arial"&amp;10Fund: 1&amp;C&amp;B&amp;"Times New Roman"&amp;14Expenditure / Budget for FY2009&amp;R&amp;"Arial"&amp;8Date: 1/6/2010</oddHeader>
    <oddFooter>&amp;L&amp;C&amp;"Arial"&amp;10Page &amp;P&amp;R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showGridLines="0" topLeftCell="B1" workbookViewId="0">
      <pane ySplit="1" topLeftCell="A20" activePane="bottomLeft" state="frozen"/>
      <selection pane="bottomLeft" activeCell="F44" sqref="F44"/>
    </sheetView>
  </sheetViews>
  <sheetFormatPr defaultRowHeight="15.75"/>
  <cols>
    <col min="1" max="1" width="27.25" bestFit="1" customWidth="1"/>
    <col min="2" max="2" width="26.625" bestFit="1" customWidth="1"/>
    <col min="3" max="3" width="5.5" bestFit="1" customWidth="1"/>
    <col min="4" max="4" width="13.5" bestFit="1" customWidth="1"/>
    <col min="5" max="5" width="14.875" bestFit="1" customWidth="1"/>
    <col min="6" max="6" width="11.625" bestFit="1" customWidth="1"/>
    <col min="7" max="10" width="12.625" bestFit="1" customWidth="1"/>
    <col min="11" max="13" width="11.625" bestFit="1" customWidth="1"/>
    <col min="14" max="14" width="12.625" bestFit="1" customWidth="1"/>
    <col min="15" max="15" width="12.5" bestFit="1" customWidth="1"/>
    <col min="16" max="16" width="11.625" bestFit="1" customWidth="1"/>
    <col min="17" max="17" width="12.5" bestFit="1" customWidth="1"/>
  </cols>
  <sheetData>
    <row r="1" spans="1:17" s="49" customFormat="1" ht="25.5">
      <c r="A1" s="46" t="s">
        <v>55</v>
      </c>
      <c r="B1" s="47" t="s">
        <v>56</v>
      </c>
      <c r="C1" s="47" t="s">
        <v>57</v>
      </c>
      <c r="D1" s="47" t="s">
        <v>5</v>
      </c>
      <c r="E1" s="47" t="s">
        <v>58</v>
      </c>
      <c r="F1" s="47" t="s">
        <v>59</v>
      </c>
      <c r="G1" s="47" t="s">
        <v>60</v>
      </c>
      <c r="H1" s="47" t="s">
        <v>61</v>
      </c>
      <c r="I1" s="47" t="s">
        <v>62</v>
      </c>
      <c r="J1" s="47" t="s">
        <v>63</v>
      </c>
      <c r="K1" s="47" t="s">
        <v>64</v>
      </c>
      <c r="L1" s="47" t="s">
        <v>65</v>
      </c>
      <c r="M1" s="47" t="s">
        <v>66</v>
      </c>
      <c r="N1" s="47" t="s">
        <v>67</v>
      </c>
      <c r="O1" s="47" t="s">
        <v>68</v>
      </c>
      <c r="P1" s="47" t="s">
        <v>69</v>
      </c>
      <c r="Q1" s="48" t="s">
        <v>70</v>
      </c>
    </row>
    <row r="2" spans="1:17">
      <c r="A2" s="50" t="s">
        <v>16</v>
      </c>
      <c r="B2" s="51" t="s">
        <v>71</v>
      </c>
      <c r="C2" s="52">
        <v>2008</v>
      </c>
      <c r="D2" s="53">
        <v>171077825.91999999</v>
      </c>
      <c r="E2" s="53">
        <v>171068428</v>
      </c>
      <c r="F2" s="53">
        <v>1305817.2</v>
      </c>
      <c r="G2" s="53">
        <v>11986968.369999999</v>
      </c>
      <c r="H2" s="53">
        <v>63501293.799999997</v>
      </c>
      <c r="I2" s="53">
        <v>60276994.479999997</v>
      </c>
      <c r="J2" s="53">
        <v>23844534.510000002</v>
      </c>
      <c r="K2" s="53">
        <v>3031347.32</v>
      </c>
      <c r="L2" s="53">
        <v>1664374.27</v>
      </c>
      <c r="M2" s="53">
        <v>1564750.14</v>
      </c>
      <c r="N2" s="53">
        <v>1353945.08</v>
      </c>
      <c r="O2" s="53">
        <v>794518.72</v>
      </c>
      <c r="P2" s="53">
        <v>708239.11</v>
      </c>
      <c r="Q2" s="54">
        <v>1045042.92</v>
      </c>
    </row>
    <row r="3" spans="1:17" ht="19.5" customHeight="1">
      <c r="A3" s="55"/>
      <c r="B3" s="56"/>
      <c r="C3" s="56"/>
      <c r="D3" s="57">
        <f>SUBTOTAL(9,D2:D2)</f>
        <v>171077825.91999999</v>
      </c>
      <c r="E3" s="57">
        <f t="shared" ref="E3:Q3" si="0">SUBTOTAL(9,E2:E2)</f>
        <v>171068428</v>
      </c>
      <c r="F3" s="57">
        <f t="shared" si="0"/>
        <v>1305817.2</v>
      </c>
      <c r="G3" s="57">
        <f t="shared" si="0"/>
        <v>11986968.369999999</v>
      </c>
      <c r="H3" s="57">
        <f t="shared" si="0"/>
        <v>63501293.799999997</v>
      </c>
      <c r="I3" s="57">
        <f t="shared" si="0"/>
        <v>60276994.479999997</v>
      </c>
      <c r="J3" s="57">
        <f t="shared" si="0"/>
        <v>23844534.510000002</v>
      </c>
      <c r="K3" s="57">
        <f t="shared" si="0"/>
        <v>3031347.32</v>
      </c>
      <c r="L3" s="57">
        <f t="shared" si="0"/>
        <v>1664374.27</v>
      </c>
      <c r="M3" s="57">
        <f t="shared" si="0"/>
        <v>1564750.14</v>
      </c>
      <c r="N3" s="57">
        <f t="shared" si="0"/>
        <v>1353945.08</v>
      </c>
      <c r="O3" s="57">
        <f t="shared" si="0"/>
        <v>794518.72</v>
      </c>
      <c r="P3" s="57">
        <f t="shared" si="0"/>
        <v>708239.11</v>
      </c>
      <c r="Q3" s="58">
        <f t="shared" si="0"/>
        <v>1045042.92</v>
      </c>
    </row>
    <row r="4" spans="1:17">
      <c r="A4" s="59" t="s">
        <v>0</v>
      </c>
      <c r="B4" s="51" t="s">
        <v>72</v>
      </c>
      <c r="C4" s="52">
        <v>2008</v>
      </c>
      <c r="D4" s="53">
        <v>4000</v>
      </c>
      <c r="E4" s="53">
        <v>4200</v>
      </c>
      <c r="F4" s="53">
        <v>500</v>
      </c>
      <c r="G4" s="53">
        <v>0</v>
      </c>
      <c r="H4" s="53">
        <v>500</v>
      </c>
      <c r="I4" s="53">
        <v>0</v>
      </c>
      <c r="J4" s="53">
        <v>1500</v>
      </c>
      <c r="K4" s="53">
        <v>0</v>
      </c>
      <c r="L4" s="53">
        <v>0</v>
      </c>
      <c r="M4" s="53">
        <v>0</v>
      </c>
      <c r="N4" s="53">
        <v>500</v>
      </c>
      <c r="O4" s="53">
        <v>500</v>
      </c>
      <c r="P4" s="53">
        <v>500</v>
      </c>
      <c r="Q4" s="54">
        <v>0</v>
      </c>
    </row>
    <row r="5" spans="1:17">
      <c r="A5" s="60"/>
      <c r="B5" s="51" t="s">
        <v>73</v>
      </c>
      <c r="C5" s="52">
        <v>2008</v>
      </c>
      <c r="D5" s="53">
        <v>649856.6</v>
      </c>
      <c r="E5" s="53">
        <v>822500</v>
      </c>
      <c r="F5" s="53">
        <v>74350</v>
      </c>
      <c r="G5" s="53">
        <v>45690.400000000001</v>
      </c>
      <c r="H5" s="53">
        <v>29700.6</v>
      </c>
      <c r="I5" s="53">
        <v>69856.7</v>
      </c>
      <c r="J5" s="53">
        <v>39043.72</v>
      </c>
      <c r="K5" s="53">
        <v>47373.8</v>
      </c>
      <c r="L5" s="53">
        <v>63347.199999999997</v>
      </c>
      <c r="M5" s="53">
        <v>51802.9</v>
      </c>
      <c r="N5" s="53">
        <v>53344.800000000003</v>
      </c>
      <c r="O5" s="53">
        <v>69831.98</v>
      </c>
      <c r="P5" s="53">
        <v>60152.800000000003</v>
      </c>
      <c r="Q5" s="54">
        <v>45361.7</v>
      </c>
    </row>
    <row r="6" spans="1:17" ht="19.5" customHeight="1">
      <c r="A6" s="55"/>
      <c r="B6" s="56"/>
      <c r="C6" s="56"/>
      <c r="D6" s="57">
        <f>SUBTOTAL(9,D4:D5)</f>
        <v>653856.6</v>
      </c>
      <c r="E6" s="57">
        <f t="shared" ref="E6:Q6" si="1">SUBTOTAL(9,E4:E5)</f>
        <v>826700</v>
      </c>
      <c r="F6" s="57">
        <f t="shared" si="1"/>
        <v>74850</v>
      </c>
      <c r="G6" s="57">
        <f t="shared" si="1"/>
        <v>45690.400000000001</v>
      </c>
      <c r="H6" s="57">
        <f t="shared" si="1"/>
        <v>30200.6</v>
      </c>
      <c r="I6" s="57">
        <f t="shared" si="1"/>
        <v>69856.7</v>
      </c>
      <c r="J6" s="57">
        <f t="shared" si="1"/>
        <v>40543.72</v>
      </c>
      <c r="K6" s="57">
        <f t="shared" si="1"/>
        <v>47373.8</v>
      </c>
      <c r="L6" s="57">
        <f t="shared" si="1"/>
        <v>63347.199999999997</v>
      </c>
      <c r="M6" s="57">
        <f t="shared" si="1"/>
        <v>51802.9</v>
      </c>
      <c r="N6" s="57">
        <f t="shared" si="1"/>
        <v>53844.800000000003</v>
      </c>
      <c r="O6" s="57">
        <f t="shared" si="1"/>
        <v>70331.98</v>
      </c>
      <c r="P6" s="57">
        <f t="shared" si="1"/>
        <v>60652.800000000003</v>
      </c>
      <c r="Q6" s="57">
        <f t="shared" si="1"/>
        <v>45361.7</v>
      </c>
    </row>
    <row r="7" spans="1:17">
      <c r="A7" s="59" t="s">
        <v>17</v>
      </c>
      <c r="B7" s="51" t="s">
        <v>74</v>
      </c>
      <c r="C7" s="52">
        <v>2008</v>
      </c>
      <c r="D7" s="53">
        <v>2252997.0699999998</v>
      </c>
      <c r="E7" s="53">
        <v>1058488</v>
      </c>
      <c r="F7" s="53">
        <v>124298.79</v>
      </c>
      <c r="G7" s="53">
        <v>53564.17</v>
      </c>
      <c r="H7" s="53">
        <v>602107.89</v>
      </c>
      <c r="I7" s="53">
        <v>23445.43</v>
      </c>
      <c r="J7" s="53">
        <v>80340.62</v>
      </c>
      <c r="K7" s="53">
        <v>165340.96</v>
      </c>
      <c r="L7" s="53">
        <v>104901.65</v>
      </c>
      <c r="M7" s="53">
        <v>346187.74</v>
      </c>
      <c r="N7" s="53">
        <v>74163.14</v>
      </c>
      <c r="O7" s="53">
        <v>350560.69</v>
      </c>
      <c r="P7" s="53">
        <v>190648.83</v>
      </c>
      <c r="Q7" s="54">
        <v>137437.16</v>
      </c>
    </row>
    <row r="8" spans="1:17">
      <c r="A8" s="61"/>
      <c r="B8" s="51" t="s">
        <v>118</v>
      </c>
      <c r="C8" s="52">
        <v>2008</v>
      </c>
      <c r="D8" s="53">
        <v>487000</v>
      </c>
      <c r="E8" s="53">
        <v>0</v>
      </c>
      <c r="F8" s="53">
        <v>0</v>
      </c>
      <c r="G8" s="53">
        <v>-656549.46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656549.46</v>
      </c>
      <c r="Q8" s="54">
        <v>487000</v>
      </c>
    </row>
    <row r="9" spans="1:17">
      <c r="A9" s="61"/>
      <c r="B9" s="51" t="s">
        <v>75</v>
      </c>
      <c r="C9" s="52">
        <v>2008</v>
      </c>
      <c r="D9" s="53">
        <v>85621</v>
      </c>
      <c r="E9" s="53">
        <v>54000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53286</v>
      </c>
      <c r="P9" s="53">
        <v>0</v>
      </c>
      <c r="Q9" s="54">
        <v>32335</v>
      </c>
    </row>
    <row r="10" spans="1:17">
      <c r="A10" s="61"/>
      <c r="B10" s="51" t="s">
        <v>76</v>
      </c>
      <c r="C10" s="52">
        <v>2008</v>
      </c>
      <c r="D10" s="53">
        <v>8768353.1300000008</v>
      </c>
      <c r="E10" s="53">
        <v>11256726</v>
      </c>
      <c r="F10" s="53">
        <v>1712611.76</v>
      </c>
      <c r="G10" s="53">
        <v>400890.7</v>
      </c>
      <c r="H10" s="53">
        <v>999952.34</v>
      </c>
      <c r="I10" s="53">
        <v>282986.11</v>
      </c>
      <c r="J10" s="53">
        <v>626170.99</v>
      </c>
      <c r="K10" s="53">
        <v>153555.47</v>
      </c>
      <c r="L10" s="53">
        <v>744832.18</v>
      </c>
      <c r="M10" s="53">
        <v>592189.41</v>
      </c>
      <c r="N10" s="53">
        <v>1010075.6</v>
      </c>
      <c r="O10" s="53">
        <v>429267.42</v>
      </c>
      <c r="P10" s="53">
        <v>863555.79</v>
      </c>
      <c r="Q10" s="54">
        <v>952265.36</v>
      </c>
    </row>
    <row r="11" spans="1:17">
      <c r="A11" s="60"/>
      <c r="B11" s="51" t="s">
        <v>77</v>
      </c>
      <c r="C11" s="52">
        <v>2008</v>
      </c>
      <c r="D11" s="53">
        <v>4423534.62</v>
      </c>
      <c r="E11" s="53">
        <v>1980009</v>
      </c>
      <c r="F11" s="53">
        <v>60336.93</v>
      </c>
      <c r="G11" s="53">
        <v>0</v>
      </c>
      <c r="H11" s="53">
        <v>928323.92</v>
      </c>
      <c r="I11" s="53">
        <v>446515.91</v>
      </c>
      <c r="J11" s="53">
        <v>0</v>
      </c>
      <c r="K11" s="53">
        <v>37048.78</v>
      </c>
      <c r="L11" s="53">
        <v>485950.32</v>
      </c>
      <c r="M11" s="53">
        <v>1392485.88</v>
      </c>
      <c r="N11" s="53">
        <v>0</v>
      </c>
      <c r="O11" s="53">
        <v>533402.44999999995</v>
      </c>
      <c r="P11" s="53">
        <v>0</v>
      </c>
      <c r="Q11" s="54">
        <v>539470.43000000005</v>
      </c>
    </row>
    <row r="12" spans="1:17" ht="19.5" customHeight="1">
      <c r="A12" s="55"/>
      <c r="B12" s="56"/>
      <c r="C12" s="56"/>
      <c r="D12" s="57">
        <f>SUBTOTAL(9,D7:D11)</f>
        <v>16017505.82</v>
      </c>
      <c r="E12" s="57">
        <f t="shared" ref="E12:Q12" si="2">SUBTOTAL(9,E7:E11)</f>
        <v>14349223</v>
      </c>
      <c r="F12" s="57">
        <f t="shared" si="2"/>
        <v>1897247.48</v>
      </c>
      <c r="G12" s="57">
        <f t="shared" si="2"/>
        <v>-202094.58999999991</v>
      </c>
      <c r="H12" s="57">
        <f t="shared" si="2"/>
        <v>2530384.15</v>
      </c>
      <c r="I12" s="57">
        <f t="shared" si="2"/>
        <v>752947.45</v>
      </c>
      <c r="J12" s="57">
        <f t="shared" si="2"/>
        <v>706511.61</v>
      </c>
      <c r="K12" s="57">
        <f t="shared" si="2"/>
        <v>355945.20999999996</v>
      </c>
      <c r="L12" s="57">
        <f t="shared" si="2"/>
        <v>1335684.1500000001</v>
      </c>
      <c r="M12" s="57">
        <f t="shared" si="2"/>
        <v>2330863.0299999998</v>
      </c>
      <c r="N12" s="57">
        <f t="shared" si="2"/>
        <v>1084238.74</v>
      </c>
      <c r="O12" s="57">
        <f t="shared" si="2"/>
        <v>1366516.56</v>
      </c>
      <c r="P12" s="57">
        <f t="shared" si="2"/>
        <v>1710754.08</v>
      </c>
      <c r="Q12" s="57">
        <f t="shared" si="2"/>
        <v>2148507.9500000002</v>
      </c>
    </row>
    <row r="13" spans="1:17">
      <c r="A13" s="59" t="s">
        <v>20</v>
      </c>
      <c r="B13" s="51" t="s">
        <v>78</v>
      </c>
      <c r="C13" s="52">
        <v>2008</v>
      </c>
      <c r="D13" s="53">
        <v>7002894.4199999999</v>
      </c>
      <c r="E13" s="53">
        <v>7191173</v>
      </c>
      <c r="F13" s="53">
        <v>316476.55</v>
      </c>
      <c r="G13" s="53">
        <v>436940.57</v>
      </c>
      <c r="H13" s="53">
        <v>541259.84</v>
      </c>
      <c r="I13" s="53">
        <v>1029914.37</v>
      </c>
      <c r="J13" s="53">
        <v>463890.67</v>
      </c>
      <c r="K13" s="53">
        <v>393521.6</v>
      </c>
      <c r="L13" s="53">
        <v>1022510.54</v>
      </c>
      <c r="M13" s="53">
        <v>351296.82</v>
      </c>
      <c r="N13" s="53">
        <v>365847.94</v>
      </c>
      <c r="O13" s="53">
        <v>775337.93</v>
      </c>
      <c r="P13" s="53">
        <v>499488.11</v>
      </c>
      <c r="Q13" s="54">
        <v>806409.48</v>
      </c>
    </row>
    <row r="14" spans="1:17">
      <c r="A14" s="61"/>
      <c r="B14" s="51" t="s">
        <v>79</v>
      </c>
      <c r="C14" s="52">
        <v>2008</v>
      </c>
      <c r="D14" s="53">
        <v>5702119.6699999999</v>
      </c>
      <c r="E14" s="53">
        <v>4475480</v>
      </c>
      <c r="F14" s="53">
        <v>301217.90999999997</v>
      </c>
      <c r="G14" s="53">
        <v>413416.26</v>
      </c>
      <c r="H14" s="53">
        <v>482739.76</v>
      </c>
      <c r="I14" s="53">
        <v>431131.89</v>
      </c>
      <c r="J14" s="53">
        <v>628085.73</v>
      </c>
      <c r="K14" s="53">
        <v>260630.22</v>
      </c>
      <c r="L14" s="53">
        <v>345998.96</v>
      </c>
      <c r="M14" s="53">
        <v>258982.32</v>
      </c>
      <c r="N14" s="53">
        <v>318056.88</v>
      </c>
      <c r="O14" s="53">
        <v>262132.96</v>
      </c>
      <c r="P14" s="53">
        <v>1223718.79</v>
      </c>
      <c r="Q14" s="54">
        <v>776007.99</v>
      </c>
    </row>
    <row r="15" spans="1:17">
      <c r="A15" s="61"/>
      <c r="B15" s="51" t="s">
        <v>80</v>
      </c>
      <c r="C15" s="52">
        <v>2008</v>
      </c>
      <c r="D15" s="53">
        <v>10035</v>
      </c>
      <c r="E15" s="53">
        <v>0</v>
      </c>
      <c r="F15" s="53">
        <v>0</v>
      </c>
      <c r="G15" s="53">
        <v>15057</v>
      </c>
      <c r="H15" s="53">
        <v>-5022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4">
        <v>0</v>
      </c>
    </row>
    <row r="16" spans="1:17">
      <c r="A16" s="61"/>
      <c r="B16" s="51" t="s">
        <v>81</v>
      </c>
      <c r="C16" s="52">
        <v>2008</v>
      </c>
      <c r="D16" s="53">
        <v>8466866.5399999991</v>
      </c>
      <c r="E16" s="53">
        <v>9474853</v>
      </c>
      <c r="F16" s="53">
        <v>561782.18999999994</v>
      </c>
      <c r="G16" s="53">
        <v>807627.15</v>
      </c>
      <c r="H16" s="53">
        <v>701126.94</v>
      </c>
      <c r="I16" s="53">
        <v>828612.65</v>
      </c>
      <c r="J16" s="53">
        <v>774140.35</v>
      </c>
      <c r="K16" s="53">
        <v>904427.63</v>
      </c>
      <c r="L16" s="53">
        <v>952858.08</v>
      </c>
      <c r="M16" s="53">
        <v>750404.41</v>
      </c>
      <c r="N16" s="53">
        <v>-35897.25</v>
      </c>
      <c r="O16" s="53">
        <v>579628.38</v>
      </c>
      <c r="P16" s="53">
        <v>772308.14</v>
      </c>
      <c r="Q16" s="54">
        <v>869847.87</v>
      </c>
    </row>
    <row r="17" spans="1:17">
      <c r="A17" s="61"/>
      <c r="B17" s="51" t="s">
        <v>82</v>
      </c>
      <c r="C17" s="52">
        <v>2008</v>
      </c>
      <c r="D17" s="53">
        <v>21380</v>
      </c>
      <c r="E17" s="53">
        <v>20500</v>
      </c>
      <c r="F17" s="53">
        <v>2220</v>
      </c>
      <c r="G17" s="53">
        <v>1460</v>
      </c>
      <c r="H17" s="53">
        <v>1240</v>
      </c>
      <c r="I17" s="53">
        <v>1520</v>
      </c>
      <c r="J17" s="53">
        <v>1380</v>
      </c>
      <c r="K17" s="53">
        <v>1540</v>
      </c>
      <c r="L17" s="53">
        <v>1760</v>
      </c>
      <c r="M17" s="53">
        <v>1960</v>
      </c>
      <c r="N17" s="53">
        <v>2280</v>
      </c>
      <c r="O17" s="53">
        <v>2120</v>
      </c>
      <c r="P17" s="53">
        <v>1900</v>
      </c>
      <c r="Q17" s="54">
        <v>2000</v>
      </c>
    </row>
    <row r="18" spans="1:17">
      <c r="A18" s="61"/>
      <c r="B18" s="51" t="s">
        <v>83</v>
      </c>
      <c r="C18" s="52">
        <v>2008</v>
      </c>
      <c r="D18" s="53">
        <v>5253112.05</v>
      </c>
      <c r="E18" s="53">
        <v>1535125</v>
      </c>
      <c r="F18" s="53">
        <v>12658</v>
      </c>
      <c r="G18" s="53">
        <v>411290.75</v>
      </c>
      <c r="H18" s="53">
        <v>406815.18</v>
      </c>
      <c r="I18" s="53">
        <v>395420.7</v>
      </c>
      <c r="J18" s="53">
        <v>430616.36</v>
      </c>
      <c r="K18" s="53">
        <v>497972.51</v>
      </c>
      <c r="L18" s="53">
        <v>462669.63</v>
      </c>
      <c r="M18" s="53">
        <v>615332.85</v>
      </c>
      <c r="N18" s="53">
        <v>437283.86</v>
      </c>
      <c r="O18" s="53">
        <v>409642.3</v>
      </c>
      <c r="P18" s="53">
        <v>430147.16</v>
      </c>
      <c r="Q18" s="54">
        <v>743262.75</v>
      </c>
    </row>
    <row r="19" spans="1:17">
      <c r="A19" s="60"/>
      <c r="B19" s="51" t="s">
        <v>119</v>
      </c>
      <c r="C19" s="52">
        <v>2008</v>
      </c>
      <c r="D19" s="53">
        <v>13064418.970000001</v>
      </c>
      <c r="E19" s="53">
        <v>11438200</v>
      </c>
      <c r="F19" s="53">
        <v>326482.2</v>
      </c>
      <c r="G19" s="53">
        <v>533439.6</v>
      </c>
      <c r="H19" s="53">
        <v>483900</v>
      </c>
      <c r="I19" s="53">
        <v>2487708.14</v>
      </c>
      <c r="J19" s="53">
        <v>2717071.2</v>
      </c>
      <c r="K19" s="53">
        <v>648195.03</v>
      </c>
      <c r="L19" s="53">
        <v>1076518.83</v>
      </c>
      <c r="M19" s="53">
        <v>355817.28</v>
      </c>
      <c r="N19" s="53">
        <v>2733779.96</v>
      </c>
      <c r="O19" s="53">
        <v>438819.9</v>
      </c>
      <c r="P19" s="53">
        <v>602479</v>
      </c>
      <c r="Q19" s="54">
        <v>660207.82999999996</v>
      </c>
    </row>
    <row r="20" spans="1:17" ht="19.5" customHeight="1">
      <c r="A20" s="55"/>
      <c r="B20" s="56"/>
      <c r="C20" s="56"/>
      <c r="D20" s="57">
        <f>SUBTOTAL(9,D13:D19)</f>
        <v>39520826.649999999</v>
      </c>
      <c r="E20" s="57">
        <f t="shared" ref="E20:Q20" si="3">SUBTOTAL(9,E13:E19)</f>
        <v>34135331</v>
      </c>
      <c r="F20" s="57">
        <f t="shared" si="3"/>
        <v>1520836.8499999999</v>
      </c>
      <c r="G20" s="57">
        <f t="shared" si="3"/>
        <v>2619231.33</v>
      </c>
      <c r="H20" s="57">
        <f t="shared" si="3"/>
        <v>2612059.7200000002</v>
      </c>
      <c r="I20" s="57">
        <f t="shared" si="3"/>
        <v>5174307.75</v>
      </c>
      <c r="J20" s="57">
        <f t="shared" si="3"/>
        <v>5015184.3100000005</v>
      </c>
      <c r="K20" s="57">
        <f t="shared" si="3"/>
        <v>2706286.99</v>
      </c>
      <c r="L20" s="57">
        <f t="shared" si="3"/>
        <v>3862316.04</v>
      </c>
      <c r="M20" s="57">
        <f t="shared" si="3"/>
        <v>2333793.6799999997</v>
      </c>
      <c r="N20" s="57">
        <f t="shared" si="3"/>
        <v>3821351.39</v>
      </c>
      <c r="O20" s="57">
        <f t="shared" si="3"/>
        <v>2467681.4700000002</v>
      </c>
      <c r="P20" s="57">
        <f t="shared" si="3"/>
        <v>3530041.2</v>
      </c>
      <c r="Q20" s="57">
        <f t="shared" si="3"/>
        <v>3857735.92</v>
      </c>
    </row>
    <row r="21" spans="1:17">
      <c r="A21" s="50" t="s">
        <v>22</v>
      </c>
      <c r="B21" s="51" t="s">
        <v>84</v>
      </c>
      <c r="C21" s="52">
        <v>2008</v>
      </c>
      <c r="D21" s="53">
        <v>5028905.6100000003</v>
      </c>
      <c r="E21" s="53">
        <v>5009825</v>
      </c>
      <c r="F21" s="53">
        <v>172030.39</v>
      </c>
      <c r="G21" s="53">
        <v>263698.40999999997</v>
      </c>
      <c r="H21" s="53">
        <v>358926.69</v>
      </c>
      <c r="I21" s="53">
        <v>228331.73</v>
      </c>
      <c r="J21" s="53">
        <v>260401.95</v>
      </c>
      <c r="K21" s="53">
        <v>334886.92</v>
      </c>
      <c r="L21" s="53">
        <v>340187.3</v>
      </c>
      <c r="M21" s="53">
        <v>334833.39</v>
      </c>
      <c r="N21" s="53">
        <v>1419662.72</v>
      </c>
      <c r="O21" s="53">
        <v>317601.76</v>
      </c>
      <c r="P21" s="53">
        <v>443068.52</v>
      </c>
      <c r="Q21" s="54">
        <v>555275.82999999996</v>
      </c>
    </row>
    <row r="22" spans="1:17" ht="19.5" customHeight="1">
      <c r="A22" s="55"/>
      <c r="B22" s="56"/>
      <c r="C22" s="56"/>
      <c r="D22" s="57">
        <f>SUBTOTAL(9,D21:D21)</f>
        <v>5028905.6100000003</v>
      </c>
      <c r="E22" s="57">
        <f t="shared" ref="E22:Q22" si="4">SUBTOTAL(9,E21:E21)</f>
        <v>5009825</v>
      </c>
      <c r="F22" s="57">
        <f t="shared" si="4"/>
        <v>172030.39</v>
      </c>
      <c r="G22" s="57">
        <f t="shared" si="4"/>
        <v>263698.40999999997</v>
      </c>
      <c r="H22" s="57">
        <f t="shared" si="4"/>
        <v>358926.69</v>
      </c>
      <c r="I22" s="57">
        <f t="shared" si="4"/>
        <v>228331.73</v>
      </c>
      <c r="J22" s="57">
        <f t="shared" si="4"/>
        <v>260401.95</v>
      </c>
      <c r="K22" s="57">
        <f t="shared" si="4"/>
        <v>334886.92</v>
      </c>
      <c r="L22" s="57">
        <f t="shared" si="4"/>
        <v>340187.3</v>
      </c>
      <c r="M22" s="57">
        <f t="shared" si="4"/>
        <v>334833.39</v>
      </c>
      <c r="N22" s="57">
        <f t="shared" si="4"/>
        <v>1419662.72</v>
      </c>
      <c r="O22" s="57">
        <f t="shared" si="4"/>
        <v>317601.76</v>
      </c>
      <c r="P22" s="57">
        <f t="shared" si="4"/>
        <v>443068.52</v>
      </c>
      <c r="Q22" s="57">
        <f t="shared" si="4"/>
        <v>555275.82999999996</v>
      </c>
    </row>
    <row r="23" spans="1:17">
      <c r="A23" s="59" t="s">
        <v>18</v>
      </c>
      <c r="B23" s="51" t="s">
        <v>85</v>
      </c>
      <c r="C23" s="52">
        <v>2008</v>
      </c>
      <c r="D23" s="53">
        <v>16050828.539999999</v>
      </c>
      <c r="E23" s="53">
        <v>11733178</v>
      </c>
      <c r="F23" s="53">
        <v>780101.19</v>
      </c>
      <c r="G23" s="53">
        <v>1363388.45</v>
      </c>
      <c r="H23" s="53">
        <v>2020778.08</v>
      </c>
      <c r="I23" s="53">
        <v>1955142.43</v>
      </c>
      <c r="J23" s="53">
        <v>496229.79</v>
      </c>
      <c r="K23" s="53">
        <v>1846154.83</v>
      </c>
      <c r="L23" s="53">
        <v>952147.23</v>
      </c>
      <c r="M23" s="53">
        <v>858022.8</v>
      </c>
      <c r="N23" s="53">
        <v>1501749.38</v>
      </c>
      <c r="O23" s="53">
        <v>1156080.48</v>
      </c>
      <c r="P23" s="53">
        <v>777935.16</v>
      </c>
      <c r="Q23" s="54">
        <v>2343098.7200000002</v>
      </c>
    </row>
    <row r="24" spans="1:17">
      <c r="A24" s="60"/>
      <c r="B24" s="51" t="s">
        <v>86</v>
      </c>
      <c r="C24" s="52">
        <v>2008</v>
      </c>
      <c r="D24" s="53">
        <v>1278047.93</v>
      </c>
      <c r="E24" s="53">
        <v>1487019</v>
      </c>
      <c r="F24" s="53">
        <v>103994.16</v>
      </c>
      <c r="G24" s="53">
        <v>106800.19</v>
      </c>
      <c r="H24" s="53">
        <v>94976.19</v>
      </c>
      <c r="I24" s="53">
        <v>107106.69</v>
      </c>
      <c r="J24" s="53">
        <v>112875.19</v>
      </c>
      <c r="K24" s="53">
        <v>112856.69</v>
      </c>
      <c r="L24" s="53">
        <v>105862.69</v>
      </c>
      <c r="M24" s="53">
        <v>103661.69</v>
      </c>
      <c r="N24" s="53">
        <v>107702.7</v>
      </c>
      <c r="O24" s="53">
        <v>105844.69</v>
      </c>
      <c r="P24" s="53">
        <v>108555.66</v>
      </c>
      <c r="Q24" s="54">
        <v>107811.39</v>
      </c>
    </row>
    <row r="25" spans="1:17" ht="19.5" customHeight="1">
      <c r="A25" s="55"/>
      <c r="B25" s="56"/>
      <c r="C25" s="56"/>
      <c r="D25" s="57">
        <f>SUBTOTAL(9,D23:D24)</f>
        <v>17328876.469999999</v>
      </c>
      <c r="E25" s="57">
        <f t="shared" ref="E25:Q25" si="5">SUBTOTAL(9,E23:E24)</f>
        <v>13220197</v>
      </c>
      <c r="F25" s="57">
        <f t="shared" si="5"/>
        <v>884095.35</v>
      </c>
      <c r="G25" s="57">
        <f t="shared" si="5"/>
        <v>1470188.64</v>
      </c>
      <c r="H25" s="57">
        <f t="shared" si="5"/>
        <v>2115754.27</v>
      </c>
      <c r="I25" s="57">
        <f t="shared" si="5"/>
        <v>2062249.1199999999</v>
      </c>
      <c r="J25" s="57">
        <f t="shared" si="5"/>
        <v>609104.98</v>
      </c>
      <c r="K25" s="57">
        <f t="shared" si="5"/>
        <v>1959011.52</v>
      </c>
      <c r="L25" s="57">
        <f t="shared" si="5"/>
        <v>1058009.92</v>
      </c>
      <c r="M25" s="57">
        <f t="shared" si="5"/>
        <v>961684.49</v>
      </c>
      <c r="N25" s="57">
        <f t="shared" si="5"/>
        <v>1609452.0799999998</v>
      </c>
      <c r="O25" s="57">
        <f t="shared" si="5"/>
        <v>1261925.17</v>
      </c>
      <c r="P25" s="57">
        <f t="shared" si="5"/>
        <v>886490.82000000007</v>
      </c>
      <c r="Q25" s="57">
        <f t="shared" si="5"/>
        <v>2450910.1100000003</v>
      </c>
    </row>
    <row r="26" spans="1:17">
      <c r="A26" s="59" t="s">
        <v>21</v>
      </c>
      <c r="B26" s="51" t="s">
        <v>120</v>
      </c>
      <c r="C26" s="52">
        <v>2008</v>
      </c>
      <c r="D26" s="53">
        <v>2637918.2799999998</v>
      </c>
      <c r="E26" s="53">
        <v>0</v>
      </c>
      <c r="F26" s="53">
        <v>215984.89</v>
      </c>
      <c r="G26" s="53">
        <v>215327.31</v>
      </c>
      <c r="H26" s="53">
        <v>325394.12</v>
      </c>
      <c r="I26" s="53">
        <v>220667.53</v>
      </c>
      <c r="J26" s="53">
        <v>110333.32</v>
      </c>
      <c r="K26" s="53">
        <v>110528.25</v>
      </c>
      <c r="L26" s="53">
        <v>332661.02</v>
      </c>
      <c r="M26" s="53">
        <v>222090.96</v>
      </c>
      <c r="N26" s="53">
        <v>222595.71</v>
      </c>
      <c r="O26" s="53">
        <v>221509.13</v>
      </c>
      <c r="P26" s="53">
        <v>220402.54</v>
      </c>
      <c r="Q26" s="54">
        <v>220423.5</v>
      </c>
    </row>
    <row r="27" spans="1:17">
      <c r="A27" s="61"/>
      <c r="B27" s="51" t="s">
        <v>87</v>
      </c>
      <c r="C27" s="52">
        <v>2008</v>
      </c>
      <c r="D27" s="53">
        <v>157508.04999999999</v>
      </c>
      <c r="E27" s="53">
        <v>0</v>
      </c>
      <c r="F27" s="53">
        <v>0</v>
      </c>
      <c r="G27" s="53">
        <v>157319.06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188.99</v>
      </c>
      <c r="O27" s="53">
        <v>0</v>
      </c>
      <c r="P27" s="53">
        <v>0</v>
      </c>
      <c r="Q27" s="54">
        <v>0</v>
      </c>
    </row>
    <row r="28" spans="1:17">
      <c r="A28" s="60"/>
      <c r="B28" s="51" t="s">
        <v>121</v>
      </c>
      <c r="C28" s="52">
        <v>2008</v>
      </c>
      <c r="D28" s="53">
        <v>19007373.370000001</v>
      </c>
      <c r="E28" s="53">
        <v>16681375</v>
      </c>
      <c r="F28" s="53">
        <v>280268.95</v>
      </c>
      <c r="G28" s="53">
        <v>300928.88</v>
      </c>
      <c r="H28" s="53">
        <v>413458.33</v>
      </c>
      <c r="I28" s="53">
        <v>12682913.84</v>
      </c>
      <c r="J28" s="53">
        <v>168810.96</v>
      </c>
      <c r="K28" s="53">
        <v>168165.5</v>
      </c>
      <c r="L28" s="53">
        <v>444307.49</v>
      </c>
      <c r="M28" s="53">
        <v>304174.38</v>
      </c>
      <c r="N28" s="53">
        <v>2798307.96</v>
      </c>
      <c r="O28" s="53">
        <v>300443.98</v>
      </c>
      <c r="P28" s="53">
        <v>304877.96999999997</v>
      </c>
      <c r="Q28" s="54">
        <v>840715.13</v>
      </c>
    </row>
    <row r="29" spans="1:17" ht="19.5" customHeight="1">
      <c r="A29" s="55"/>
      <c r="B29" s="56"/>
      <c r="C29" s="56"/>
      <c r="D29" s="57">
        <f>SUBTOTAL(9,D26:D28)</f>
        <v>21802799.699999999</v>
      </c>
      <c r="E29" s="57">
        <f t="shared" ref="E29:Q29" si="6">SUBTOTAL(9,E26:E28)</f>
        <v>16681375</v>
      </c>
      <c r="F29" s="57">
        <f t="shared" si="6"/>
        <v>496253.84</v>
      </c>
      <c r="G29" s="57">
        <f t="shared" si="6"/>
        <v>673575.25</v>
      </c>
      <c r="H29" s="57">
        <f t="shared" si="6"/>
        <v>738852.45</v>
      </c>
      <c r="I29" s="57">
        <f t="shared" si="6"/>
        <v>12903581.369999999</v>
      </c>
      <c r="J29" s="57">
        <f t="shared" si="6"/>
        <v>279144.28000000003</v>
      </c>
      <c r="K29" s="57">
        <f t="shared" si="6"/>
        <v>278693.75</v>
      </c>
      <c r="L29" s="57">
        <f t="shared" si="6"/>
        <v>776968.51</v>
      </c>
      <c r="M29" s="57">
        <f t="shared" si="6"/>
        <v>526265.34</v>
      </c>
      <c r="N29" s="57">
        <f t="shared" si="6"/>
        <v>3021092.66</v>
      </c>
      <c r="O29" s="57">
        <f t="shared" si="6"/>
        <v>521953.11</v>
      </c>
      <c r="P29" s="57">
        <f t="shared" si="6"/>
        <v>525280.51</v>
      </c>
      <c r="Q29" s="57">
        <f t="shared" si="6"/>
        <v>1061138.6299999999</v>
      </c>
    </row>
    <row r="30" spans="1:17">
      <c r="A30" s="59" t="s">
        <v>19</v>
      </c>
      <c r="B30" s="51" t="s">
        <v>88</v>
      </c>
      <c r="C30" s="52">
        <v>2008</v>
      </c>
      <c r="D30" s="53">
        <v>80711.22</v>
      </c>
      <c r="E30" s="53">
        <v>105500</v>
      </c>
      <c r="F30" s="53">
        <v>20426.3</v>
      </c>
      <c r="G30" s="53">
        <v>19044.41</v>
      </c>
      <c r="H30" s="53">
        <v>250</v>
      </c>
      <c r="I30" s="53">
        <v>6122.46</v>
      </c>
      <c r="J30" s="53">
        <v>5087.63</v>
      </c>
      <c r="K30" s="53">
        <v>69</v>
      </c>
      <c r="L30" s="53">
        <v>268.62</v>
      </c>
      <c r="M30" s="53">
        <v>67</v>
      </c>
      <c r="N30" s="53">
        <v>8527.49</v>
      </c>
      <c r="O30" s="53">
        <v>4446.08</v>
      </c>
      <c r="P30" s="53">
        <v>118</v>
      </c>
      <c r="Q30" s="54">
        <v>16284.23</v>
      </c>
    </row>
    <row r="31" spans="1:17">
      <c r="A31" s="61"/>
      <c r="B31" s="51" t="s">
        <v>89</v>
      </c>
      <c r="C31" s="52">
        <v>2008</v>
      </c>
      <c r="D31" s="53">
        <v>2212758.13</v>
      </c>
      <c r="E31" s="53">
        <v>759000</v>
      </c>
      <c r="F31" s="53">
        <v>78265.48</v>
      </c>
      <c r="G31" s="53">
        <v>38415.35</v>
      </c>
      <c r="H31" s="53">
        <v>55833.66</v>
      </c>
      <c r="I31" s="53">
        <v>98693.63</v>
      </c>
      <c r="J31" s="53">
        <v>54608.44</v>
      </c>
      <c r="K31" s="53">
        <v>30739.66</v>
      </c>
      <c r="L31" s="53">
        <v>33504.870000000003</v>
      </c>
      <c r="M31" s="53">
        <v>89935.92</v>
      </c>
      <c r="N31" s="53">
        <v>70599.38</v>
      </c>
      <c r="O31" s="53">
        <v>1516618.65</v>
      </c>
      <c r="P31" s="53">
        <v>92630.35</v>
      </c>
      <c r="Q31" s="54">
        <v>52912.74</v>
      </c>
    </row>
    <row r="32" spans="1:17">
      <c r="A32" s="61"/>
      <c r="B32" s="51" t="s">
        <v>122</v>
      </c>
      <c r="C32" s="52">
        <v>2008</v>
      </c>
      <c r="D32" s="53">
        <v>193512.75</v>
      </c>
      <c r="E32" s="53">
        <v>0</v>
      </c>
      <c r="F32" s="53">
        <v>92678.720000000001</v>
      </c>
      <c r="G32" s="53">
        <v>45000</v>
      </c>
      <c r="H32" s="53">
        <v>0</v>
      </c>
      <c r="I32" s="53">
        <v>0</v>
      </c>
      <c r="J32" s="53">
        <v>0</v>
      </c>
      <c r="K32" s="53">
        <v>0</v>
      </c>
      <c r="L32" s="53">
        <v>53126.5</v>
      </c>
      <c r="M32" s="53">
        <v>0</v>
      </c>
      <c r="N32" s="53">
        <v>0</v>
      </c>
      <c r="O32" s="53">
        <v>0</v>
      </c>
      <c r="P32" s="53">
        <v>84456.3</v>
      </c>
      <c r="Q32" s="54">
        <v>-81748.77</v>
      </c>
    </row>
    <row r="33" spans="1:17">
      <c r="A33" s="61"/>
      <c r="B33" s="51" t="s">
        <v>90</v>
      </c>
      <c r="C33" s="52">
        <v>2008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4">
        <v>0</v>
      </c>
    </row>
    <row r="34" spans="1:17">
      <c r="A34" s="60"/>
      <c r="B34" s="51" t="s">
        <v>123</v>
      </c>
      <c r="C34" s="52">
        <v>2008</v>
      </c>
      <c r="D34" s="53">
        <v>115295.07</v>
      </c>
      <c r="E34" s="53">
        <v>0</v>
      </c>
      <c r="F34" s="53">
        <v>22420.7</v>
      </c>
      <c r="G34" s="53">
        <v>12246.93</v>
      </c>
      <c r="H34" s="53">
        <v>974.96</v>
      </c>
      <c r="I34" s="53">
        <v>1860</v>
      </c>
      <c r="J34" s="53">
        <v>10924.38</v>
      </c>
      <c r="K34" s="53">
        <v>46958.44</v>
      </c>
      <c r="L34" s="53">
        <v>1638.35</v>
      </c>
      <c r="M34" s="53">
        <v>5809.09</v>
      </c>
      <c r="N34" s="53">
        <v>2540.11</v>
      </c>
      <c r="O34" s="53">
        <v>-405</v>
      </c>
      <c r="P34" s="53">
        <v>0</v>
      </c>
      <c r="Q34" s="54">
        <v>10327.11</v>
      </c>
    </row>
    <row r="35" spans="1:17" ht="19.5" customHeight="1">
      <c r="A35" s="55"/>
      <c r="B35" s="56"/>
      <c r="C35" s="56"/>
      <c r="D35" s="57">
        <f>SUBTOTAL(9,D30:D34)</f>
        <v>2602277.17</v>
      </c>
      <c r="E35" s="57">
        <f t="shared" ref="E35:Q35" si="7">SUBTOTAL(9,E30:E34)</f>
        <v>864500</v>
      </c>
      <c r="F35" s="57">
        <f t="shared" si="7"/>
        <v>213791.2</v>
      </c>
      <c r="G35" s="57">
        <f t="shared" si="7"/>
        <v>114706.69</v>
      </c>
      <c r="H35" s="57">
        <f t="shared" si="7"/>
        <v>57058.62</v>
      </c>
      <c r="I35" s="57">
        <f t="shared" si="7"/>
        <v>106676.09000000001</v>
      </c>
      <c r="J35" s="57">
        <f t="shared" si="7"/>
        <v>70620.45</v>
      </c>
      <c r="K35" s="57">
        <f t="shared" si="7"/>
        <v>77767.100000000006</v>
      </c>
      <c r="L35" s="57">
        <f t="shared" si="7"/>
        <v>88538.340000000011</v>
      </c>
      <c r="M35" s="57">
        <f t="shared" si="7"/>
        <v>95812.01</v>
      </c>
      <c r="N35" s="57">
        <f t="shared" si="7"/>
        <v>81666.98000000001</v>
      </c>
      <c r="O35" s="57">
        <f t="shared" si="7"/>
        <v>1520659.73</v>
      </c>
      <c r="P35" s="57">
        <f t="shared" si="7"/>
        <v>177204.65000000002</v>
      </c>
      <c r="Q35" s="57">
        <f t="shared" si="7"/>
        <v>-2224.6900000000023</v>
      </c>
    </row>
    <row r="36" spans="1:17">
      <c r="A36" s="59" t="s">
        <v>6</v>
      </c>
      <c r="B36" s="51" t="s">
        <v>124</v>
      </c>
      <c r="C36" s="52">
        <v>2008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4">
        <v>0</v>
      </c>
    </row>
    <row r="37" spans="1:17">
      <c r="A37" s="61"/>
      <c r="B37" s="51" t="s">
        <v>125</v>
      </c>
      <c r="C37" s="52">
        <v>2008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4">
        <v>0</v>
      </c>
    </row>
    <row r="38" spans="1:17">
      <c r="A38" s="61"/>
      <c r="B38" s="51" t="s">
        <v>126</v>
      </c>
      <c r="C38" s="52">
        <v>2008</v>
      </c>
      <c r="D38" s="53">
        <v>58364643.649999999</v>
      </c>
      <c r="E38" s="53">
        <v>272309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58364643.649999999</v>
      </c>
      <c r="P38" s="53">
        <v>0</v>
      </c>
      <c r="Q38" s="54">
        <v>0</v>
      </c>
    </row>
    <row r="39" spans="1:17">
      <c r="A39" s="61"/>
      <c r="B39" s="51" t="s">
        <v>91</v>
      </c>
      <c r="C39" s="52">
        <v>2008</v>
      </c>
      <c r="D39" s="53">
        <v>20555056.280000001</v>
      </c>
      <c r="E39" s="53">
        <v>9046853</v>
      </c>
      <c r="F39" s="53">
        <v>0</v>
      </c>
      <c r="G39" s="53">
        <v>0</v>
      </c>
      <c r="H39" s="53">
        <v>1000000</v>
      </c>
      <c r="I39" s="53">
        <v>7086390</v>
      </c>
      <c r="J39" s="53">
        <v>0</v>
      </c>
      <c r="K39" s="53">
        <v>0</v>
      </c>
      <c r="L39" s="53">
        <v>19063</v>
      </c>
      <c r="M39" s="53">
        <v>0</v>
      </c>
      <c r="N39" s="53">
        <v>639541.12</v>
      </c>
      <c r="O39" s="53">
        <v>1369179.21</v>
      </c>
      <c r="P39" s="53">
        <v>399949</v>
      </c>
      <c r="Q39" s="54">
        <v>10040933.949999999</v>
      </c>
    </row>
    <row r="40" spans="1:17">
      <c r="A40" s="60"/>
      <c r="B40" s="51" t="s">
        <v>92</v>
      </c>
      <c r="C40" s="52">
        <v>2008</v>
      </c>
      <c r="D40" s="53">
        <v>576734.28</v>
      </c>
      <c r="E40" s="53">
        <v>90000</v>
      </c>
      <c r="F40" s="53">
        <v>0</v>
      </c>
      <c r="G40" s="53">
        <v>294628.56</v>
      </c>
      <c r="H40" s="53">
        <v>0</v>
      </c>
      <c r="I40" s="53">
        <v>0</v>
      </c>
      <c r="J40" s="53">
        <v>0</v>
      </c>
      <c r="K40" s="53">
        <v>90980.92</v>
      </c>
      <c r="L40" s="53">
        <v>0</v>
      </c>
      <c r="M40" s="53">
        <v>0</v>
      </c>
      <c r="N40" s="53">
        <v>0</v>
      </c>
      <c r="O40" s="53">
        <v>15965</v>
      </c>
      <c r="P40" s="53">
        <v>53559.8</v>
      </c>
      <c r="Q40" s="54">
        <v>121600</v>
      </c>
    </row>
    <row r="41" spans="1:17" ht="19.5" customHeight="1">
      <c r="A41" s="55"/>
      <c r="B41" s="56"/>
      <c r="C41" s="56"/>
      <c r="D41" s="57">
        <f>SUBTOTAL(9,D36:D40)</f>
        <v>79496434.210000008</v>
      </c>
      <c r="E41" s="57">
        <f t="shared" ref="E41:Q41" si="8">SUBTOTAL(9,E36:E40)</f>
        <v>9409162</v>
      </c>
      <c r="F41" s="57">
        <f t="shared" si="8"/>
        <v>0</v>
      </c>
      <c r="G41" s="57">
        <f t="shared" si="8"/>
        <v>294628.56</v>
      </c>
      <c r="H41" s="57">
        <f t="shared" si="8"/>
        <v>1000000</v>
      </c>
      <c r="I41" s="57">
        <f t="shared" si="8"/>
        <v>7086390</v>
      </c>
      <c r="J41" s="57">
        <f t="shared" si="8"/>
        <v>0</v>
      </c>
      <c r="K41" s="57">
        <f t="shared" si="8"/>
        <v>90980.92</v>
      </c>
      <c r="L41" s="57">
        <f t="shared" si="8"/>
        <v>19063</v>
      </c>
      <c r="M41" s="57">
        <f t="shared" si="8"/>
        <v>0</v>
      </c>
      <c r="N41" s="57">
        <f t="shared" si="8"/>
        <v>639541.12</v>
      </c>
      <c r="O41" s="57">
        <f t="shared" si="8"/>
        <v>59749787.859999999</v>
      </c>
      <c r="P41" s="57">
        <f t="shared" si="8"/>
        <v>453508.8</v>
      </c>
      <c r="Q41" s="57">
        <f t="shared" si="8"/>
        <v>10162533.949999999</v>
      </c>
    </row>
    <row r="42" spans="1:17" ht="19.5" customHeight="1">
      <c r="A42" s="62"/>
      <c r="B42" s="63"/>
      <c r="C42" s="63"/>
      <c r="D42" s="64">
        <f>SUBTOTAL(9,D2:D41)</f>
        <v>353529308.14999998</v>
      </c>
      <c r="E42" s="64">
        <f t="shared" ref="E42:Q42" si="9">SUBTOTAL(9,E2:E41)</f>
        <v>265564741</v>
      </c>
      <c r="F42" s="64">
        <f t="shared" si="9"/>
        <v>6564922.3099999996</v>
      </c>
      <c r="G42" s="64">
        <f t="shared" si="9"/>
        <v>17266593.059999999</v>
      </c>
      <c r="H42" s="64">
        <f t="shared" si="9"/>
        <v>72944530.299999997</v>
      </c>
      <c r="I42" s="64">
        <f t="shared" si="9"/>
        <v>88661334.689999983</v>
      </c>
      <c r="J42" s="64">
        <f t="shared" si="9"/>
        <v>30826045.810000002</v>
      </c>
      <c r="K42" s="64">
        <f t="shared" si="9"/>
        <v>8882293.5299999993</v>
      </c>
      <c r="L42" s="64">
        <f t="shared" si="9"/>
        <v>9208488.7299999986</v>
      </c>
      <c r="M42" s="64">
        <f t="shared" si="9"/>
        <v>8199804.9799999995</v>
      </c>
      <c r="N42" s="64">
        <f t="shared" si="9"/>
        <v>13084795.569999998</v>
      </c>
      <c r="O42" s="64">
        <f t="shared" si="9"/>
        <v>68070976.359999999</v>
      </c>
      <c r="P42" s="64">
        <f t="shared" si="9"/>
        <v>8495240.4900000021</v>
      </c>
      <c r="Q42" s="64">
        <f t="shared" si="9"/>
        <v>21324282.32</v>
      </c>
    </row>
  </sheetData>
  <phoneticPr fontId="12" type="noConversion"/>
  <pageMargins left="0.248" right="0.22" top="1.07" bottom="0.76400000000000001" header="0.248" footer="0.22"/>
  <pageSetup orientation="landscape" horizontalDpi="1200" verticalDpi="1200" r:id="rId1"/>
  <headerFooter alignWithMargins="0">
    <oddHeader>&amp;L&amp;"Arial"&amp;10Detail Filter:  Fiscal Year  =  2008  and  Fund  =  001 &amp;C&amp;B&amp;"Times New Roman"&amp;14Collin County Actual Revenues and Original Revenue Budgets (Monthly Detail)&amp;R&amp;"Arial"&amp;8Date: 1/6/2010</oddHeader>
    <oddFooter>&amp;L&amp;C&amp;"Arial"&amp;10Page &amp;P&amp;R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showGridLines="0" workbookViewId="0">
      <selection activeCell="E14" sqref="E14"/>
    </sheetView>
  </sheetViews>
  <sheetFormatPr defaultRowHeight="15.75"/>
  <cols>
    <col min="1" max="1" width="7.25" bestFit="1" customWidth="1"/>
    <col min="2" max="2" width="23.5" bestFit="1" customWidth="1"/>
    <col min="3" max="5" width="13.5" bestFit="1" customWidth="1"/>
    <col min="6" max="6" width="11.75" bestFit="1" customWidth="1"/>
    <col min="7" max="17" width="12.625" bestFit="1" customWidth="1"/>
  </cols>
  <sheetData>
    <row r="1" spans="1:17" s="49" customFormat="1" ht="38.25">
      <c r="A1" s="46" t="s">
        <v>96</v>
      </c>
      <c r="B1" s="46" t="s">
        <v>55</v>
      </c>
      <c r="C1" s="47" t="s">
        <v>97</v>
      </c>
      <c r="D1" s="47" t="s">
        <v>98</v>
      </c>
      <c r="E1" s="47" t="s">
        <v>99</v>
      </c>
      <c r="F1" s="47" t="s">
        <v>59</v>
      </c>
      <c r="G1" s="47" t="s">
        <v>60</v>
      </c>
      <c r="H1" s="47" t="s">
        <v>61</v>
      </c>
      <c r="I1" s="47" t="s">
        <v>62</v>
      </c>
      <c r="J1" s="47" t="s">
        <v>63</v>
      </c>
      <c r="K1" s="47" t="s">
        <v>64</v>
      </c>
      <c r="L1" s="47" t="s">
        <v>65</v>
      </c>
      <c r="M1" s="47" t="s">
        <v>66</v>
      </c>
      <c r="N1" s="46" t="s">
        <v>67</v>
      </c>
      <c r="O1" s="47" t="s">
        <v>68</v>
      </c>
      <c r="P1" s="47" t="s">
        <v>69</v>
      </c>
      <c r="Q1" s="48" t="s">
        <v>70</v>
      </c>
    </row>
    <row r="2" spans="1:17">
      <c r="A2" s="72">
        <v>80</v>
      </c>
      <c r="B2" s="59" t="s">
        <v>11</v>
      </c>
      <c r="C2" s="53">
        <v>370277</v>
      </c>
      <c r="D2" s="53">
        <v>727556</v>
      </c>
      <c r="E2" s="53">
        <v>541830.66</v>
      </c>
      <c r="F2" s="53">
        <v>-6339.18</v>
      </c>
      <c r="G2" s="53">
        <v>39675.550000000003</v>
      </c>
      <c r="H2" s="53">
        <v>19023.990000000002</v>
      </c>
      <c r="I2" s="53">
        <v>52021.29</v>
      </c>
      <c r="J2" s="53">
        <v>28720.16</v>
      </c>
      <c r="K2" s="53">
        <v>26936.09</v>
      </c>
      <c r="L2" s="53">
        <v>31732.78</v>
      </c>
      <c r="M2" s="53">
        <v>21783.57</v>
      </c>
      <c r="N2" s="77">
        <v>39642.04</v>
      </c>
      <c r="O2" s="53">
        <v>21597.75</v>
      </c>
      <c r="P2" s="53">
        <v>215012.41</v>
      </c>
      <c r="Q2" s="54">
        <v>52024.21</v>
      </c>
    </row>
    <row r="3" spans="1:17">
      <c r="A3" s="72">
        <v>76</v>
      </c>
      <c r="B3" s="59" t="s">
        <v>8</v>
      </c>
      <c r="C3" s="53">
        <v>1199159</v>
      </c>
      <c r="D3" s="53">
        <v>1238216</v>
      </c>
      <c r="E3" s="53">
        <v>2062703.96</v>
      </c>
      <c r="F3" s="53">
        <v>47031.69</v>
      </c>
      <c r="G3" s="53">
        <v>42316.62</v>
      </c>
      <c r="H3" s="53">
        <v>336889.91</v>
      </c>
      <c r="I3" s="53">
        <v>118769.63</v>
      </c>
      <c r="J3" s="53">
        <v>130628.65</v>
      </c>
      <c r="K3" s="53">
        <v>544088.04</v>
      </c>
      <c r="L3" s="53">
        <v>73584.59</v>
      </c>
      <c r="M3" s="53">
        <v>50137.27</v>
      </c>
      <c r="N3" s="77">
        <v>149759.37</v>
      </c>
      <c r="O3" s="53">
        <v>141345.5</v>
      </c>
      <c r="P3" s="53">
        <v>287930.90999999997</v>
      </c>
      <c r="Q3" s="54">
        <v>140221.78</v>
      </c>
    </row>
    <row r="4" spans="1:17">
      <c r="A4" s="72">
        <v>85</v>
      </c>
      <c r="B4" s="59" t="s">
        <v>100</v>
      </c>
      <c r="C4" s="53">
        <v>39688692</v>
      </c>
      <c r="D4" s="53">
        <v>50299627</v>
      </c>
      <c r="E4" s="53">
        <v>50253584.240000002</v>
      </c>
      <c r="F4" s="53">
        <v>0</v>
      </c>
      <c r="G4" s="53">
        <v>300</v>
      </c>
      <c r="H4" s="53">
        <v>0</v>
      </c>
      <c r="I4" s="53">
        <v>0</v>
      </c>
      <c r="J4" s="53">
        <v>28753339.329999998</v>
      </c>
      <c r="K4" s="53">
        <v>2850838.75</v>
      </c>
      <c r="L4" s="53">
        <v>41890</v>
      </c>
      <c r="M4" s="53">
        <v>4500</v>
      </c>
      <c r="N4" s="77">
        <v>19000</v>
      </c>
      <c r="O4" s="53">
        <v>10912539.789999999</v>
      </c>
      <c r="P4" s="53">
        <v>7700974.3799999999</v>
      </c>
      <c r="Q4" s="54">
        <v>-29798.01</v>
      </c>
    </row>
    <row r="5" spans="1:17">
      <c r="A5" s="72">
        <v>60</v>
      </c>
      <c r="B5" s="59" t="s">
        <v>9</v>
      </c>
      <c r="C5" s="53">
        <v>2433415</v>
      </c>
      <c r="D5" s="53">
        <v>3139760</v>
      </c>
      <c r="E5" s="53">
        <v>2901284.92</v>
      </c>
      <c r="F5" s="53">
        <v>70952.17</v>
      </c>
      <c r="G5" s="53">
        <v>230194.9</v>
      </c>
      <c r="H5" s="53">
        <v>158537.44</v>
      </c>
      <c r="I5" s="53">
        <v>564030.07999999996</v>
      </c>
      <c r="J5" s="53">
        <v>226005.2</v>
      </c>
      <c r="K5" s="53">
        <v>131396.14000000001</v>
      </c>
      <c r="L5" s="53">
        <v>265905.44</v>
      </c>
      <c r="M5" s="53">
        <v>204359.87</v>
      </c>
      <c r="N5" s="77">
        <v>227610.72</v>
      </c>
      <c r="O5" s="53">
        <v>286335.15999999997</v>
      </c>
      <c r="P5" s="53">
        <v>220640.96</v>
      </c>
      <c r="Q5" s="54">
        <v>315316.84000000003</v>
      </c>
    </row>
    <row r="6" spans="1:17">
      <c r="A6" s="72">
        <v>48</v>
      </c>
      <c r="B6" s="59" t="s">
        <v>47</v>
      </c>
      <c r="C6" s="53">
        <v>9925189</v>
      </c>
      <c r="D6" s="53">
        <v>10236244</v>
      </c>
      <c r="E6" s="53">
        <v>9719584.8800000008</v>
      </c>
      <c r="F6" s="53">
        <v>189332.41</v>
      </c>
      <c r="G6" s="53">
        <v>768098.7</v>
      </c>
      <c r="H6" s="53">
        <v>784670.51</v>
      </c>
      <c r="I6" s="53">
        <v>1721510.03</v>
      </c>
      <c r="J6" s="53">
        <v>826145.24</v>
      </c>
      <c r="K6" s="53">
        <v>811285.76</v>
      </c>
      <c r="L6" s="53">
        <v>549138.37</v>
      </c>
      <c r="M6" s="53">
        <v>525863.1</v>
      </c>
      <c r="N6" s="77">
        <v>596239.74</v>
      </c>
      <c r="O6" s="53">
        <v>782513.53</v>
      </c>
      <c r="P6" s="53">
        <v>868797.61</v>
      </c>
      <c r="Q6" s="54">
        <v>1295989.8799999999</v>
      </c>
    </row>
    <row r="7" spans="1:17">
      <c r="A7" s="72">
        <v>41</v>
      </c>
      <c r="B7" s="59" t="s">
        <v>46</v>
      </c>
      <c r="C7" s="53">
        <v>37639150</v>
      </c>
      <c r="D7" s="53">
        <v>36096874</v>
      </c>
      <c r="E7" s="53">
        <v>27222387.100000001</v>
      </c>
      <c r="F7" s="53">
        <v>815726.29</v>
      </c>
      <c r="G7" s="53">
        <v>2682472.83</v>
      </c>
      <c r="H7" s="53">
        <v>1364502.21</v>
      </c>
      <c r="I7" s="53">
        <v>2530657.56</v>
      </c>
      <c r="J7" s="53">
        <v>2705998.76</v>
      </c>
      <c r="K7" s="53">
        <v>1256002.1599999999</v>
      </c>
      <c r="L7" s="53">
        <v>1822598.67</v>
      </c>
      <c r="M7" s="53">
        <v>4442369.0199999996</v>
      </c>
      <c r="N7" s="77">
        <v>3232535.75</v>
      </c>
      <c r="O7" s="53">
        <v>1275000.45</v>
      </c>
      <c r="P7" s="53">
        <v>1666362.77</v>
      </c>
      <c r="Q7" s="54">
        <v>3428160.63</v>
      </c>
    </row>
    <row r="8" spans="1:17">
      <c r="A8" s="72">
        <v>72</v>
      </c>
      <c r="B8" s="59" t="s">
        <v>10</v>
      </c>
      <c r="C8" s="53">
        <v>17183257</v>
      </c>
      <c r="D8" s="53">
        <v>15836617</v>
      </c>
      <c r="E8" s="53">
        <v>17791258.440000001</v>
      </c>
      <c r="F8" s="53">
        <v>499393.45</v>
      </c>
      <c r="G8" s="53">
        <v>982270.4</v>
      </c>
      <c r="H8" s="53">
        <v>937330.79</v>
      </c>
      <c r="I8" s="53">
        <v>2364580.48</v>
      </c>
      <c r="J8" s="53">
        <v>1360145.59</v>
      </c>
      <c r="K8" s="53">
        <v>936960.41</v>
      </c>
      <c r="L8" s="53">
        <v>2059703.26</v>
      </c>
      <c r="M8" s="53">
        <v>1238654.1200000001</v>
      </c>
      <c r="N8" s="77">
        <v>1674025.24</v>
      </c>
      <c r="O8" s="53">
        <v>830411.69</v>
      </c>
      <c r="P8" s="53">
        <v>1703215.27</v>
      </c>
      <c r="Q8" s="54">
        <v>3204567.74</v>
      </c>
    </row>
    <row r="9" spans="1:17">
      <c r="A9" s="72">
        <v>44</v>
      </c>
      <c r="B9" s="59" t="s">
        <v>49</v>
      </c>
      <c r="C9" s="53">
        <v>16892588</v>
      </c>
      <c r="D9" s="53">
        <v>17511804</v>
      </c>
      <c r="E9" s="53">
        <v>15953689.83</v>
      </c>
      <c r="F9" s="53">
        <v>272227.21000000002</v>
      </c>
      <c r="G9" s="53">
        <v>1469515.86</v>
      </c>
      <c r="H9" s="53">
        <v>982264.16</v>
      </c>
      <c r="I9" s="53">
        <v>2684284.54</v>
      </c>
      <c r="J9" s="53">
        <v>1468957.39</v>
      </c>
      <c r="K9" s="53">
        <v>1010101.53</v>
      </c>
      <c r="L9" s="53">
        <v>1056185.49</v>
      </c>
      <c r="M9" s="53">
        <v>1115540.78</v>
      </c>
      <c r="N9" s="77">
        <v>1182244.22</v>
      </c>
      <c r="O9" s="53">
        <v>1044425.34</v>
      </c>
      <c r="P9" s="53">
        <v>1561161.71</v>
      </c>
      <c r="Q9" s="54">
        <v>2106781.6</v>
      </c>
    </row>
    <row r="10" spans="1:17">
      <c r="A10" s="72">
        <v>52</v>
      </c>
      <c r="B10" s="59" t="s">
        <v>50</v>
      </c>
      <c r="C10" s="53">
        <v>10123030</v>
      </c>
      <c r="D10" s="53">
        <v>10223818</v>
      </c>
      <c r="E10" s="53">
        <v>10033675.630000001</v>
      </c>
      <c r="F10" s="53">
        <v>191316.35</v>
      </c>
      <c r="G10" s="53">
        <v>895757.56</v>
      </c>
      <c r="H10" s="53">
        <v>628051.17000000004</v>
      </c>
      <c r="I10" s="53">
        <v>1676678.84</v>
      </c>
      <c r="J10" s="53">
        <v>1001738.02</v>
      </c>
      <c r="K10" s="53">
        <v>652401.17000000004</v>
      </c>
      <c r="L10" s="53">
        <v>686037.44</v>
      </c>
      <c r="M10" s="53">
        <v>680223.9</v>
      </c>
      <c r="N10" s="77">
        <v>764973.23</v>
      </c>
      <c r="O10" s="53">
        <v>622922.14</v>
      </c>
      <c r="P10" s="53">
        <v>965142.55</v>
      </c>
      <c r="Q10" s="54">
        <v>1268433.26</v>
      </c>
    </row>
    <row r="11" spans="1:17">
      <c r="A11" s="72">
        <v>56</v>
      </c>
      <c r="B11" s="59" t="s">
        <v>7</v>
      </c>
      <c r="C11" s="53">
        <v>13190056</v>
      </c>
      <c r="D11" s="53">
        <v>40957636</v>
      </c>
      <c r="E11" s="53">
        <v>31398306.120000001</v>
      </c>
      <c r="F11" s="53">
        <v>231065.60000000001</v>
      </c>
      <c r="G11" s="53">
        <v>1763704.78</v>
      </c>
      <c r="H11" s="53">
        <v>1500251.12</v>
      </c>
      <c r="I11" s="53">
        <v>2313915.65</v>
      </c>
      <c r="J11" s="53">
        <v>2455852.9700000002</v>
      </c>
      <c r="K11" s="53">
        <v>2540569.36</v>
      </c>
      <c r="L11" s="53">
        <v>2636046.1800000002</v>
      </c>
      <c r="M11" s="53">
        <v>3276251.87</v>
      </c>
      <c r="N11" s="77">
        <v>2579313.15</v>
      </c>
      <c r="O11" s="53">
        <v>2794058.59</v>
      </c>
      <c r="P11" s="53">
        <v>4239605.03</v>
      </c>
      <c r="Q11" s="54">
        <v>5067671.82</v>
      </c>
    </row>
    <row r="12" spans="1:17">
      <c r="A12" s="72">
        <v>64</v>
      </c>
      <c r="B12" s="59" t="s">
        <v>48</v>
      </c>
      <c r="C12" s="53">
        <v>64075535</v>
      </c>
      <c r="D12" s="53">
        <v>57996969</v>
      </c>
      <c r="E12" s="53">
        <v>64200232.189999998</v>
      </c>
      <c r="F12" s="53">
        <v>1716941.74</v>
      </c>
      <c r="G12" s="53">
        <v>5983381.3600000003</v>
      </c>
      <c r="H12" s="53">
        <v>4846147.63</v>
      </c>
      <c r="I12" s="53">
        <v>9785654.6199999992</v>
      </c>
      <c r="J12" s="53">
        <v>5988626.0499999998</v>
      </c>
      <c r="K12" s="53">
        <v>4186622.96</v>
      </c>
      <c r="L12" s="53">
        <v>4060299.25</v>
      </c>
      <c r="M12" s="53">
        <v>4134913.27</v>
      </c>
      <c r="N12" s="77">
        <v>5067119.91</v>
      </c>
      <c r="O12" s="53">
        <v>4187578.35</v>
      </c>
      <c r="P12" s="53">
        <v>6030874.0999999996</v>
      </c>
      <c r="Q12" s="54">
        <v>8212072.9500000002</v>
      </c>
    </row>
    <row r="13" spans="1:17">
      <c r="A13" s="72">
        <v>68</v>
      </c>
      <c r="B13" s="59" t="s">
        <v>101</v>
      </c>
      <c r="C13" s="53">
        <v>17022879</v>
      </c>
      <c r="D13" s="53">
        <v>37697948</v>
      </c>
      <c r="E13" s="53">
        <v>63038430.68</v>
      </c>
      <c r="F13" s="53">
        <v>248806.57</v>
      </c>
      <c r="G13" s="53">
        <v>1346759.41</v>
      </c>
      <c r="H13" s="53">
        <v>5437299.3099999996</v>
      </c>
      <c r="I13" s="53">
        <v>9481992.9000000004</v>
      </c>
      <c r="J13" s="53">
        <v>3968413.44</v>
      </c>
      <c r="K13" s="53">
        <v>5200933.8600000003</v>
      </c>
      <c r="L13" s="53">
        <v>6071720.3399999999</v>
      </c>
      <c r="M13" s="53">
        <v>3120147.6</v>
      </c>
      <c r="N13" s="77">
        <v>3305833.84</v>
      </c>
      <c r="O13" s="53">
        <v>2263745.31</v>
      </c>
      <c r="P13" s="53">
        <v>5757297.8700000001</v>
      </c>
      <c r="Q13" s="54">
        <v>16835480.23</v>
      </c>
    </row>
    <row r="14" spans="1:17">
      <c r="A14" s="73">
        <v>88</v>
      </c>
      <c r="B14" s="50" t="s">
        <v>12</v>
      </c>
      <c r="C14" s="53">
        <v>25864446</v>
      </c>
      <c r="D14" s="53">
        <v>40216702</v>
      </c>
      <c r="E14" s="53">
        <v>41401503.990000002</v>
      </c>
      <c r="F14" s="53">
        <v>228765.8</v>
      </c>
      <c r="G14" s="53">
        <v>1481827.29</v>
      </c>
      <c r="H14" s="53">
        <v>2641113.83</v>
      </c>
      <c r="I14" s="53">
        <v>8662877.9000000004</v>
      </c>
      <c r="J14" s="53">
        <v>1745688.57</v>
      </c>
      <c r="K14" s="53">
        <v>1641726.65</v>
      </c>
      <c r="L14" s="53">
        <v>1653559.51</v>
      </c>
      <c r="M14" s="53">
        <v>2059792.5</v>
      </c>
      <c r="N14" s="78">
        <v>2143548.94</v>
      </c>
      <c r="O14" s="53">
        <v>2844668.67</v>
      </c>
      <c r="P14" s="53">
        <v>2315346.16</v>
      </c>
      <c r="Q14" s="54">
        <v>13982588.17</v>
      </c>
    </row>
    <row r="15" spans="1:17">
      <c r="A15" s="74"/>
      <c r="B15" s="75"/>
      <c r="C15" s="76">
        <f>SUBTOTAL(9,C2:C14)</f>
        <v>255607673</v>
      </c>
      <c r="D15" s="76">
        <f t="shared" ref="D15:Q15" si="0">SUBTOTAL(9,D2:D14)</f>
        <v>322179771</v>
      </c>
      <c r="E15" s="76">
        <f t="shared" si="0"/>
        <v>336518472.63999999</v>
      </c>
      <c r="F15" s="76">
        <f t="shared" si="0"/>
        <v>4505220.0999999996</v>
      </c>
      <c r="G15" s="76">
        <f t="shared" si="0"/>
        <v>17686275.259999998</v>
      </c>
      <c r="H15" s="76">
        <f t="shared" si="0"/>
        <v>19636082.07</v>
      </c>
      <c r="I15" s="76">
        <f t="shared" si="0"/>
        <v>41956973.519999996</v>
      </c>
      <c r="J15" s="76">
        <f t="shared" si="0"/>
        <v>50660259.369999997</v>
      </c>
      <c r="K15" s="76">
        <f t="shared" si="0"/>
        <v>21789862.879999999</v>
      </c>
      <c r="L15" s="76">
        <f t="shared" si="0"/>
        <v>21008401.32</v>
      </c>
      <c r="M15" s="76">
        <f t="shared" si="0"/>
        <v>20874536.870000001</v>
      </c>
      <c r="N15" s="76">
        <f t="shared" si="0"/>
        <v>20981846.150000002</v>
      </c>
      <c r="O15" s="76">
        <f t="shared" si="0"/>
        <v>28007142.269999996</v>
      </c>
      <c r="P15" s="76">
        <f t="shared" si="0"/>
        <v>33532361.730000004</v>
      </c>
      <c r="Q15" s="76">
        <f t="shared" si="0"/>
        <v>55879511.100000001</v>
      </c>
    </row>
    <row r="16" spans="1:17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</row>
  </sheetData>
  <phoneticPr fontId="12" type="noConversion"/>
  <pageMargins left="0.39300000000000002" right="0.39300000000000002" top="1.2150000000000001" bottom="0.93799999999999994" header="0.39300000000000002" footer="0.39300000000000002"/>
  <pageSetup orientation="landscape" horizontalDpi="1200" verticalDpi="1200" r:id="rId1"/>
  <headerFooter alignWithMargins="0">
    <oddHeader>&amp;L&amp;B&amp;"Arial"&amp;10Fund: 1&amp;C&amp;B&amp;"Times New Roman"&amp;14Expenditure / Budget for FY2008&amp;R&amp;"Arial"&amp;8Date: 1/6/2010</oddHeader>
    <oddFooter>&amp;L&amp;C&amp;"Arial"&amp;10Page &amp;P&amp;R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4"/>
  <sheetViews>
    <sheetView topLeftCell="A18" zoomScaleNormal="100" workbookViewId="0">
      <selection activeCell="H68" sqref="H68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8.375" style="2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8.125" style="2" customWidth="1"/>
    <col min="12" max="12" width="13.75" style="2" customWidth="1"/>
    <col min="13" max="13" width="11.375" style="2" customWidth="1"/>
    <col min="14" max="14" width="14" style="2" bestFit="1" customWidth="1"/>
    <col min="15" max="15" width="13.125" style="2" bestFit="1" customWidth="1"/>
    <col min="16" max="16" width="10.25" style="2" customWidth="1"/>
    <col min="17" max="17" width="11.5" style="2" customWidth="1"/>
    <col min="18" max="18" width="11.875" style="2" customWidth="1"/>
    <col min="19" max="19" width="13.25" style="2" bestFit="1" customWidth="1"/>
    <col min="20" max="20" width="12.125" style="2" customWidth="1"/>
    <col min="21" max="21" width="12.5" style="2" bestFit="1" customWidth="1"/>
    <col min="22" max="22" width="13" style="2" customWidth="1"/>
    <col min="23" max="23" width="12.5" style="2" bestFit="1" customWidth="1"/>
    <col min="24" max="24" width="11.125" style="2" bestFit="1" customWidth="1"/>
    <col min="25" max="25" width="11.25" style="2" customWidth="1"/>
    <col min="26" max="26" width="12.625" style="2" customWidth="1"/>
    <col min="27" max="27" width="11.125" style="2" bestFit="1" customWidth="1"/>
    <col min="28" max="28" width="10.75" style="2" customWidth="1"/>
    <col min="29" max="29" width="12.5" style="2" bestFit="1" customWidth="1"/>
    <col min="30" max="30" width="11.5" style="2" customWidth="1"/>
    <col min="31" max="31" width="11.375" style="2" customWidth="1"/>
    <col min="32" max="32" width="11.75" style="2" customWidth="1"/>
    <col min="33" max="33" width="13" style="2" customWidth="1"/>
    <col min="34" max="34" width="9" style="2"/>
    <col min="35" max="35" width="11.125" style="2" customWidth="1"/>
    <col min="36" max="36" width="9" style="2"/>
    <col min="37" max="37" width="12.875" style="2" customWidth="1"/>
    <col min="38" max="16384" width="9" style="2"/>
  </cols>
  <sheetData>
    <row r="1" spans="1:32" ht="15.95" customHeight="1">
      <c r="E1" s="3"/>
      <c r="F1" s="99" t="s">
        <v>23</v>
      </c>
    </row>
    <row r="2" spans="1:32" ht="15.95" customHeight="1">
      <c r="E2" s="3"/>
      <c r="F2" s="99" t="s">
        <v>52</v>
      </c>
    </row>
    <row r="3" spans="1:32" ht="15.95" customHeight="1">
      <c r="B3" s="127" t="s">
        <v>41</v>
      </c>
      <c r="C3" s="127"/>
      <c r="D3" s="127"/>
      <c r="E3" s="3"/>
      <c r="F3" s="99" t="s">
        <v>53</v>
      </c>
    </row>
    <row r="4" spans="1:32" ht="15.95" customHeight="1">
      <c r="E4" s="3"/>
      <c r="F4" s="99" t="s">
        <v>54</v>
      </c>
    </row>
    <row r="5" spans="1:32" ht="15.95" customHeight="1">
      <c r="E5" s="3"/>
      <c r="F5" s="99" t="s">
        <v>24</v>
      </c>
    </row>
    <row r="6" spans="1:32" ht="16.5">
      <c r="A6" s="4"/>
      <c r="B6" s="4"/>
      <c r="C6" s="4"/>
      <c r="D6" s="5"/>
      <c r="E6" s="5"/>
      <c r="F6" s="100"/>
    </row>
    <row r="7" spans="1:32" ht="15.75">
      <c r="D7" s="3"/>
      <c r="E7" s="3"/>
    </row>
    <row r="8" spans="1:32" ht="19.5" customHeight="1">
      <c r="A8" s="102" t="s">
        <v>244</v>
      </c>
      <c r="B8" s="103" t="s">
        <v>37</v>
      </c>
      <c r="C8" s="103"/>
      <c r="D8" s="103"/>
      <c r="E8" s="103"/>
      <c r="F8" s="103"/>
    </row>
    <row r="9" spans="1:32" ht="19.5" customHeight="1">
      <c r="A9" s="102" t="s">
        <v>245</v>
      </c>
      <c r="B9" s="103" t="s">
        <v>93</v>
      </c>
      <c r="C9" s="103"/>
      <c r="D9" s="103"/>
      <c r="E9" s="103"/>
      <c r="F9" s="103"/>
    </row>
    <row r="10" spans="1:32" ht="19.5" customHeight="1">
      <c r="A10" s="102" t="s">
        <v>246</v>
      </c>
      <c r="B10" s="104">
        <v>41379</v>
      </c>
      <c r="C10" s="103"/>
      <c r="D10" s="103"/>
      <c r="E10" s="103"/>
      <c r="F10" s="103"/>
    </row>
    <row r="11" spans="1:32" ht="19.5" customHeight="1">
      <c r="A11" s="102" t="s">
        <v>247</v>
      </c>
      <c r="B11" s="103" t="s">
        <v>248</v>
      </c>
      <c r="C11" s="103"/>
      <c r="D11" s="103"/>
      <c r="E11" s="103"/>
      <c r="F11" s="103"/>
    </row>
    <row r="12" spans="1:32" ht="15.75" customHeight="1">
      <c r="A12" s="102"/>
      <c r="B12" s="103"/>
      <c r="C12" s="103"/>
      <c r="D12" s="103"/>
      <c r="E12" s="103"/>
      <c r="F12" s="103"/>
    </row>
    <row r="13" spans="1:32" ht="5.25" customHeight="1">
      <c r="A13" s="128"/>
      <c r="B13" s="128"/>
      <c r="C13" s="128"/>
      <c r="D13" s="128"/>
      <c r="E13" s="128"/>
      <c r="F13" s="128"/>
    </row>
    <row r="14" spans="1:32" ht="21" customHeight="1">
      <c r="A14" s="125" t="s">
        <v>172</v>
      </c>
      <c r="B14" s="125"/>
      <c r="C14" s="125"/>
      <c r="D14" s="125"/>
      <c r="E14" s="125"/>
      <c r="F14" s="125"/>
    </row>
    <row r="15" spans="1:32" ht="8.25" customHeight="1">
      <c r="A15" s="103"/>
      <c r="B15" s="103"/>
      <c r="C15" s="103"/>
      <c r="D15" s="103"/>
      <c r="E15" s="103"/>
      <c r="F15" s="103"/>
      <c r="N15" s="34"/>
      <c r="O15" s="34"/>
      <c r="P15" s="34"/>
      <c r="Q15" s="34"/>
    </row>
    <row r="16" spans="1:32" ht="39">
      <c r="A16" s="129"/>
      <c r="B16" s="129"/>
      <c r="C16" s="105" t="s">
        <v>238</v>
      </c>
      <c r="D16" s="105" t="s">
        <v>250</v>
      </c>
      <c r="E16" s="105" t="s">
        <v>25</v>
      </c>
      <c r="F16" s="105" t="s">
        <v>254</v>
      </c>
      <c r="G16" s="10">
        <v>0.5</v>
      </c>
      <c r="H16" s="2" t="s">
        <v>42</v>
      </c>
      <c r="I16" s="10">
        <v>0.5</v>
      </c>
      <c r="K16" s="9" t="s">
        <v>238</v>
      </c>
      <c r="L16" s="9" t="s">
        <v>249</v>
      </c>
      <c r="M16" s="9">
        <v>2013</v>
      </c>
      <c r="N16" s="9" t="s">
        <v>196</v>
      </c>
      <c r="O16" s="9" t="s">
        <v>209</v>
      </c>
      <c r="P16" s="9">
        <v>2012</v>
      </c>
      <c r="Q16" s="9" t="s">
        <v>151</v>
      </c>
      <c r="R16" s="9" t="s">
        <v>210</v>
      </c>
      <c r="S16" s="9" t="s">
        <v>192</v>
      </c>
      <c r="T16" s="9">
        <v>2011</v>
      </c>
      <c r="U16" s="9" t="s">
        <v>94</v>
      </c>
      <c r="V16" s="9" t="s">
        <v>211</v>
      </c>
      <c r="W16" s="9" t="s">
        <v>193</v>
      </c>
      <c r="X16" s="9">
        <v>2010</v>
      </c>
      <c r="Y16" s="9" t="s">
        <v>1</v>
      </c>
      <c r="Z16" s="9" t="s">
        <v>135</v>
      </c>
      <c r="AA16" s="9" t="s">
        <v>106</v>
      </c>
      <c r="AB16" s="9">
        <v>2009</v>
      </c>
      <c r="AC16" s="9" t="s">
        <v>104</v>
      </c>
      <c r="AD16" s="9" t="s">
        <v>136</v>
      </c>
      <c r="AE16" s="9" t="s">
        <v>107</v>
      </c>
      <c r="AF16" s="9">
        <v>2008</v>
      </c>
    </row>
    <row r="17" spans="1:32" ht="15.75" customHeight="1">
      <c r="A17" s="123" t="s">
        <v>26</v>
      </c>
      <c r="B17" s="123"/>
      <c r="C17" s="112">
        <f>K17</f>
        <v>178536569</v>
      </c>
      <c r="D17" s="112">
        <f>L17</f>
        <v>176051306</v>
      </c>
      <c r="E17" s="106">
        <f t="shared" ref="E17:E24" si="0">(D17/C17)</f>
        <v>0.98607980978955634</v>
      </c>
      <c r="F17" s="115">
        <f t="shared" ref="F17:F23" si="1">D17-G17</f>
        <v>86783021.5</v>
      </c>
      <c r="G17" s="14">
        <f>C17*0.5</f>
        <v>89268284.5</v>
      </c>
      <c r="H17" s="15">
        <f t="shared" ref="H17:H22" si="2">C17-D17</f>
        <v>2485263</v>
      </c>
      <c r="I17" s="10">
        <v>0.5</v>
      </c>
      <c r="J17" s="21" t="str">
        <f>A17</f>
        <v>Current / Delinquent Taxes</v>
      </c>
      <c r="K17" s="82">
        <v>178536569</v>
      </c>
      <c r="L17" s="82">
        <v>176051306</v>
      </c>
      <c r="M17" s="41">
        <f>L17/K17</f>
        <v>0.98607980978955634</v>
      </c>
      <c r="N17" s="82">
        <v>172920521</v>
      </c>
      <c r="O17" s="82">
        <v>170913096.28</v>
      </c>
      <c r="P17" s="41">
        <v>0.98839105556477014</v>
      </c>
      <c r="Q17" s="82">
        <v>170741229</v>
      </c>
      <c r="R17" s="82">
        <v>166859696</v>
      </c>
      <c r="S17" s="82">
        <v>171396885</v>
      </c>
      <c r="T17" s="41">
        <v>0.97352817118000712</v>
      </c>
      <c r="U17" s="11">
        <v>175930506</v>
      </c>
      <c r="V17" s="11">
        <v>170151643.09999999</v>
      </c>
      <c r="W17" s="11">
        <v>175482441</v>
      </c>
      <c r="X17" s="12">
        <v>0.96962204383742301</v>
      </c>
      <c r="Y17" s="11">
        <v>173590951</v>
      </c>
      <c r="Z17" s="11">
        <v>168785597.69</v>
      </c>
      <c r="AA17" s="11">
        <v>174855279</v>
      </c>
      <c r="AB17" s="12">
        <v>0.96528740027345694</v>
      </c>
      <c r="AC17" s="11">
        <v>171068428</v>
      </c>
      <c r="AD17" s="11">
        <v>163946955.67999998</v>
      </c>
      <c r="AE17" s="11">
        <v>171033213</v>
      </c>
      <c r="AF17" s="12">
        <v>0.95856794598134565</v>
      </c>
    </row>
    <row r="18" spans="1:32" ht="15.75" customHeight="1">
      <c r="A18" s="123" t="s">
        <v>95</v>
      </c>
      <c r="B18" s="123"/>
      <c r="C18" s="107">
        <f>K18</f>
        <v>279000</v>
      </c>
      <c r="D18" s="107">
        <f>L18</f>
        <v>165035</v>
      </c>
      <c r="E18" s="106">
        <f>(D18/C18)</f>
        <v>0.59152329749103938</v>
      </c>
      <c r="F18" s="108">
        <f>D18-G18</f>
        <v>25535</v>
      </c>
      <c r="G18" s="14">
        <f t="shared" ref="G18:G24" si="3">C18*0.5</f>
        <v>139500</v>
      </c>
      <c r="H18" s="15">
        <f t="shared" si="2"/>
        <v>113965</v>
      </c>
      <c r="I18" s="10">
        <v>0.5</v>
      </c>
      <c r="J18" s="21" t="str">
        <f t="shared" ref="J18:J23" si="4">A18</f>
        <v>License / Permits</v>
      </c>
      <c r="K18" s="83">
        <v>279000</v>
      </c>
      <c r="L18" s="83">
        <f>3225+161810</f>
        <v>165035</v>
      </c>
      <c r="M18" s="41">
        <f t="shared" ref="M18:M23" si="5">L18/K18</f>
        <v>0.59152329749103938</v>
      </c>
      <c r="N18" s="83">
        <v>280300</v>
      </c>
      <c r="O18" s="83">
        <v>159499.79999999999</v>
      </c>
      <c r="P18" s="41">
        <v>0.56903246521584017</v>
      </c>
      <c r="Q18" s="83">
        <v>246000</v>
      </c>
      <c r="R18" s="83">
        <v>188869</v>
      </c>
      <c r="S18" s="83">
        <v>315483</v>
      </c>
      <c r="T18" s="41">
        <v>0.59866617218677398</v>
      </c>
      <c r="U18" s="16">
        <v>335854</v>
      </c>
      <c r="V18" s="28">
        <v>139009</v>
      </c>
      <c r="W18" s="28">
        <v>255670</v>
      </c>
      <c r="X18" s="12">
        <v>0.5437047756874096</v>
      </c>
      <c r="Y18" s="28">
        <v>650650</v>
      </c>
      <c r="Z18" s="28">
        <v>164714.09999999998</v>
      </c>
      <c r="AA18" s="28">
        <v>283457.14</v>
      </c>
      <c r="AB18" s="12">
        <v>0.58108996654661782</v>
      </c>
      <c r="AC18" s="28">
        <v>826700</v>
      </c>
      <c r="AD18" s="28">
        <v>308515.22000000003</v>
      </c>
      <c r="AE18" s="28">
        <v>653857</v>
      </c>
      <c r="AF18" s="12">
        <v>0.47183898008280101</v>
      </c>
    </row>
    <row r="19" spans="1:32" ht="15.75" customHeight="1">
      <c r="A19" s="123" t="s">
        <v>51</v>
      </c>
      <c r="B19" s="123"/>
      <c r="C19" s="107">
        <f t="shared" ref="C19:D23" si="6">K19</f>
        <v>8786551</v>
      </c>
      <c r="D19" s="107">
        <f t="shared" si="6"/>
        <v>6980322</v>
      </c>
      <c r="E19" s="106">
        <f t="shared" si="0"/>
        <v>0.79443253672573</v>
      </c>
      <c r="F19" s="108">
        <f t="shared" si="1"/>
        <v>2587046.5</v>
      </c>
      <c r="G19" s="14">
        <f t="shared" si="3"/>
        <v>4393275.5</v>
      </c>
      <c r="H19" s="27">
        <f t="shared" si="2"/>
        <v>1806229</v>
      </c>
      <c r="I19" s="10">
        <v>0.5</v>
      </c>
      <c r="J19" s="21" t="str">
        <f t="shared" si="4"/>
        <v>Intergovernmental Revenue</v>
      </c>
      <c r="K19" s="83">
        <v>8786551</v>
      </c>
      <c r="L19" s="83">
        <f>761564+16833+89981+5154106+957838</f>
        <v>6980322</v>
      </c>
      <c r="M19" s="41">
        <f t="shared" si="5"/>
        <v>0.79443253672573</v>
      </c>
      <c r="N19" s="83">
        <v>9897851</v>
      </c>
      <c r="O19" s="83">
        <v>9059766.3100000005</v>
      </c>
      <c r="P19" s="41">
        <v>0.91532660069342331</v>
      </c>
      <c r="Q19" s="83">
        <v>10310296</v>
      </c>
      <c r="R19" s="83">
        <v>8795542</v>
      </c>
      <c r="S19" s="83">
        <v>20939933</v>
      </c>
      <c r="T19" s="41">
        <v>0.4200367785321949</v>
      </c>
      <c r="U19" s="16">
        <v>10763558</v>
      </c>
      <c r="V19" s="28">
        <v>5884221.2199999997</v>
      </c>
      <c r="W19" s="28">
        <v>17592701</v>
      </c>
      <c r="X19" s="12">
        <v>0.33446946094292174</v>
      </c>
      <c r="Y19" s="28">
        <v>9723482</v>
      </c>
      <c r="Z19" s="28">
        <v>8485324.1699999999</v>
      </c>
      <c r="AA19" s="28">
        <v>18219983</v>
      </c>
      <c r="AB19" s="12">
        <v>0.46571526274201241</v>
      </c>
      <c r="AC19" s="28">
        <v>14349223</v>
      </c>
      <c r="AD19" s="28">
        <v>6040941.3100000005</v>
      </c>
      <c r="AE19" s="28">
        <v>14374024</v>
      </c>
      <c r="AF19" s="12">
        <v>0.42026792984344541</v>
      </c>
    </row>
    <row r="20" spans="1:32" ht="15.75" customHeight="1">
      <c r="A20" s="123" t="s">
        <v>2</v>
      </c>
      <c r="B20" s="123"/>
      <c r="C20" s="107">
        <f t="shared" si="6"/>
        <v>44239275</v>
      </c>
      <c r="D20" s="107">
        <f t="shared" si="6"/>
        <v>19274147</v>
      </c>
      <c r="E20" s="106">
        <f t="shared" si="0"/>
        <v>0.43567954040838147</v>
      </c>
      <c r="F20" s="108">
        <f t="shared" si="1"/>
        <v>-2845490.5</v>
      </c>
      <c r="G20" s="14">
        <f t="shared" si="3"/>
        <v>22119637.5</v>
      </c>
      <c r="H20" s="27">
        <f t="shared" si="2"/>
        <v>24965128</v>
      </c>
      <c r="I20" s="10">
        <v>0.5</v>
      </c>
      <c r="J20" s="21" t="str">
        <f t="shared" si="4"/>
        <v>Fees/Charges for Services</v>
      </c>
      <c r="K20" s="83">
        <v>44239275</v>
      </c>
      <c r="L20" s="83">
        <f>4045857+3157279+4433923+12280+2283448+5341360</f>
        <v>19274147</v>
      </c>
      <c r="M20" s="41">
        <f t="shared" si="5"/>
        <v>0.43567954040838147</v>
      </c>
      <c r="N20" s="83">
        <v>39758436</v>
      </c>
      <c r="O20" s="83">
        <v>18737616.699999999</v>
      </c>
      <c r="P20" s="41">
        <v>0.47128656418979858</v>
      </c>
      <c r="Q20" s="83">
        <v>38925096</v>
      </c>
      <c r="R20" s="83">
        <v>19009928</v>
      </c>
      <c r="S20" s="83">
        <v>38970040</v>
      </c>
      <c r="T20" s="41">
        <v>0.48780878849495662</v>
      </c>
      <c r="U20" s="16">
        <v>40351226</v>
      </c>
      <c r="V20" s="28">
        <v>17625387.649999999</v>
      </c>
      <c r="W20" s="28">
        <v>37730335</v>
      </c>
      <c r="X20" s="12">
        <v>0.46714103254052736</v>
      </c>
      <c r="Y20" s="28">
        <v>38656872</v>
      </c>
      <c r="Z20" s="28">
        <v>18859251.09</v>
      </c>
      <c r="AA20" s="28">
        <v>38824924</v>
      </c>
      <c r="AB20" s="12">
        <v>0.4857511399120833</v>
      </c>
      <c r="AC20" s="28">
        <v>34135331</v>
      </c>
      <c r="AD20" s="28">
        <v>19647906.950000003</v>
      </c>
      <c r="AE20" s="28">
        <v>39510792</v>
      </c>
      <c r="AF20" s="12">
        <v>0.49727950150935984</v>
      </c>
    </row>
    <row r="21" spans="1:32" ht="15.75" customHeight="1">
      <c r="A21" s="123" t="s">
        <v>4</v>
      </c>
      <c r="B21" s="123"/>
      <c r="C21" s="107">
        <f t="shared" si="6"/>
        <v>3669367</v>
      </c>
      <c r="D21" s="107">
        <f t="shared" si="6"/>
        <v>2081204</v>
      </c>
      <c r="E21" s="106">
        <f t="shared" si="0"/>
        <v>0.56718338612627195</v>
      </c>
      <c r="F21" s="108">
        <f t="shared" si="1"/>
        <v>246520.5</v>
      </c>
      <c r="G21" s="14">
        <f t="shared" si="3"/>
        <v>1834683.5</v>
      </c>
      <c r="H21" s="27">
        <f t="shared" si="2"/>
        <v>1588163</v>
      </c>
      <c r="I21" s="10">
        <v>0.5</v>
      </c>
      <c r="J21" s="21" t="str">
        <f t="shared" si="4"/>
        <v>Fines</v>
      </c>
      <c r="K21" s="83">
        <v>3669367</v>
      </c>
      <c r="L21" s="83">
        <v>2081204</v>
      </c>
      <c r="M21" s="41">
        <f t="shared" si="5"/>
        <v>0.56718338612627195</v>
      </c>
      <c r="N21" s="83">
        <v>3622500</v>
      </c>
      <c r="O21" s="83">
        <v>1903558.8</v>
      </c>
      <c r="P21" s="41">
        <v>0.5254820703933748</v>
      </c>
      <c r="Q21" s="83">
        <v>3814000</v>
      </c>
      <c r="R21" s="83">
        <v>1771396</v>
      </c>
      <c r="S21" s="83">
        <v>3811745</v>
      </c>
      <c r="T21" s="41">
        <v>0.46472048890993495</v>
      </c>
      <c r="U21" s="16">
        <v>4596375</v>
      </c>
      <c r="V21" s="28">
        <v>1700946.93</v>
      </c>
      <c r="W21" s="28">
        <v>3846674</v>
      </c>
      <c r="X21" s="12">
        <v>0.44218640051119484</v>
      </c>
      <c r="Y21" s="28">
        <v>4675500</v>
      </c>
      <c r="Z21" s="28">
        <v>2137069.25</v>
      </c>
      <c r="AA21" s="28">
        <v>4484058</v>
      </c>
      <c r="AB21" s="12">
        <v>0.47659268680289146</v>
      </c>
      <c r="AC21" s="28">
        <v>5009825</v>
      </c>
      <c r="AD21" s="28">
        <v>1618276.0899999999</v>
      </c>
      <c r="AE21" s="28">
        <v>5028906</v>
      </c>
      <c r="AF21" s="12">
        <v>0.32179485756941967</v>
      </c>
    </row>
    <row r="22" spans="1:32" ht="15.75" customHeight="1">
      <c r="A22" s="123" t="s">
        <v>3</v>
      </c>
      <c r="B22" s="123"/>
      <c r="C22" s="107">
        <f t="shared" si="6"/>
        <v>2994718</v>
      </c>
      <c r="D22" s="107">
        <f t="shared" si="6"/>
        <v>928058</v>
      </c>
      <c r="E22" s="106">
        <f t="shared" si="0"/>
        <v>0.30989829426343313</v>
      </c>
      <c r="F22" s="108">
        <f t="shared" si="1"/>
        <v>-569301</v>
      </c>
      <c r="G22" s="14">
        <f t="shared" si="3"/>
        <v>1497359</v>
      </c>
      <c r="H22" s="27">
        <f t="shared" si="2"/>
        <v>2066660</v>
      </c>
      <c r="I22" s="10">
        <v>0.5</v>
      </c>
      <c r="J22" s="21" t="str">
        <f t="shared" si="4"/>
        <v>Investment Revenue</v>
      </c>
      <c r="K22" s="83">
        <v>2994718</v>
      </c>
      <c r="L22" s="83">
        <f>255318+672740</f>
        <v>928058</v>
      </c>
      <c r="M22" s="41">
        <f t="shared" si="5"/>
        <v>0.30989829426343313</v>
      </c>
      <c r="N22" s="83">
        <v>3963042</v>
      </c>
      <c r="O22" s="83">
        <v>1833997.13</v>
      </c>
      <c r="P22" s="41">
        <v>0.46277509297151026</v>
      </c>
      <c r="Q22" s="83">
        <v>3023647</v>
      </c>
      <c r="R22" s="83">
        <v>2173198</v>
      </c>
      <c r="S22" s="83">
        <v>4280332</v>
      </c>
      <c r="T22" s="41">
        <v>0.50771715838864839</v>
      </c>
      <c r="U22" s="16">
        <v>6218768</v>
      </c>
      <c r="V22" s="28">
        <v>2195838.4699999997</v>
      </c>
      <c r="W22" s="28">
        <v>4363907</v>
      </c>
      <c r="X22" s="12">
        <v>0.50318177495533245</v>
      </c>
      <c r="Y22" s="28">
        <v>9130674</v>
      </c>
      <c r="Z22" s="28">
        <v>4505873.57</v>
      </c>
      <c r="AA22" s="28">
        <v>6645972</v>
      </c>
      <c r="AB22" s="12">
        <v>0.67798563851909099</v>
      </c>
      <c r="AC22" s="28">
        <v>13003197</v>
      </c>
      <c r="AD22" s="28">
        <v>9100403.879999999</v>
      </c>
      <c r="AE22" s="28">
        <v>12385827</v>
      </c>
      <c r="AF22" s="12">
        <v>0.73474333849487794</v>
      </c>
    </row>
    <row r="23" spans="1:32" ht="15.75" customHeight="1" thickBot="1">
      <c r="A23" s="123" t="s">
        <v>251</v>
      </c>
      <c r="B23" s="123"/>
      <c r="C23" s="107">
        <f t="shared" si="6"/>
        <v>22230295</v>
      </c>
      <c r="D23" s="107">
        <f t="shared" si="6"/>
        <v>24875316</v>
      </c>
      <c r="E23" s="106">
        <f t="shared" si="0"/>
        <v>1.1189827215518282</v>
      </c>
      <c r="F23" s="108">
        <f t="shared" si="1"/>
        <v>13760168.5</v>
      </c>
      <c r="G23" s="14">
        <f t="shared" si="3"/>
        <v>11115147.5</v>
      </c>
      <c r="H23" s="27">
        <v>0</v>
      </c>
      <c r="I23" s="10">
        <v>0.5</v>
      </c>
      <c r="J23" s="21" t="str">
        <f t="shared" si="4"/>
        <v>Misc., Transfers, Ins.</v>
      </c>
      <c r="K23" s="84">
        <f>21024295+876000+330000</f>
        <v>22230295</v>
      </c>
      <c r="L23" s="84">
        <f>11214+48480+924250+35762+23554+6827616+3561393+1492951+868122+11081974</f>
        <v>24875316</v>
      </c>
      <c r="M23" s="38">
        <f t="shared" si="5"/>
        <v>1.1189827215518282</v>
      </c>
      <c r="N23" s="84">
        <v>28888485</v>
      </c>
      <c r="O23" s="84">
        <v>30675366.979999997</v>
      </c>
      <c r="P23" s="38">
        <v>1.0618544717730956</v>
      </c>
      <c r="Q23" s="84">
        <v>29807534</v>
      </c>
      <c r="R23" s="84">
        <v>54436954</v>
      </c>
      <c r="S23" s="84">
        <v>62617420</v>
      </c>
      <c r="T23" s="38">
        <v>0.86935798376873397</v>
      </c>
      <c r="U23" s="32">
        <v>29809162</v>
      </c>
      <c r="V23" s="33">
        <v>25995831.740000002</v>
      </c>
      <c r="W23" s="33">
        <v>35149669</v>
      </c>
      <c r="X23" s="38">
        <v>0.73957543497778033</v>
      </c>
      <c r="Y23" s="33">
        <v>27526735</v>
      </c>
      <c r="Z23" s="33">
        <v>26278938.57</v>
      </c>
      <c r="AA23" s="33">
        <v>89804150</v>
      </c>
      <c r="AB23" s="38">
        <v>0.29262499082726134</v>
      </c>
      <c r="AC23" s="33">
        <v>26955037</v>
      </c>
      <c r="AD23" s="33">
        <v>24482720.57</v>
      </c>
      <c r="AE23" s="33">
        <v>56197396</v>
      </c>
      <c r="AF23" s="38">
        <v>0.43565578323237614</v>
      </c>
    </row>
    <row r="24" spans="1:32" ht="15.75" customHeight="1" thickBot="1">
      <c r="A24" s="124" t="s">
        <v>28</v>
      </c>
      <c r="B24" s="124"/>
      <c r="C24" s="112">
        <f>SUM(C17:C23)</f>
        <v>260735775</v>
      </c>
      <c r="D24" s="112">
        <f>SUM(D17:D23)</f>
        <v>230355388</v>
      </c>
      <c r="E24" s="106">
        <f t="shared" si="0"/>
        <v>0.8834820921678278</v>
      </c>
      <c r="F24" s="116">
        <f>SUM(F17:F23)</f>
        <v>99987500.5</v>
      </c>
      <c r="G24" s="14">
        <f t="shared" si="3"/>
        <v>130367887.5</v>
      </c>
      <c r="H24" s="27">
        <v>0</v>
      </c>
      <c r="J24" s="21"/>
      <c r="K24" s="85">
        <f>SUM(K17:K23)</f>
        <v>260735775</v>
      </c>
      <c r="L24" s="85">
        <f>SUM(L17:L23)</f>
        <v>230355388</v>
      </c>
      <c r="M24" s="39">
        <f>(L24/K24)</f>
        <v>0.8834820921678278</v>
      </c>
      <c r="N24" s="85">
        <v>259331135</v>
      </c>
      <c r="O24" s="85">
        <v>233282902</v>
      </c>
      <c r="P24" s="39">
        <v>0.89955609071004916</v>
      </c>
      <c r="Q24" s="85">
        <v>256867802</v>
      </c>
      <c r="R24" s="85">
        <v>253235583</v>
      </c>
      <c r="S24" s="85">
        <v>302331838</v>
      </c>
      <c r="T24" s="39">
        <v>0.83760805568879582</v>
      </c>
      <c r="U24" s="31">
        <v>268005449</v>
      </c>
      <c r="V24" s="31">
        <v>223692878.11000001</v>
      </c>
      <c r="W24" s="31">
        <v>274421397</v>
      </c>
      <c r="X24" s="39">
        <v>0.81514371894987481</v>
      </c>
      <c r="Y24" s="31">
        <v>263954864</v>
      </c>
      <c r="Z24" s="31">
        <v>229216768.43999997</v>
      </c>
      <c r="AA24" s="31">
        <v>333117823.13999999</v>
      </c>
      <c r="AB24" s="39">
        <v>0.68809517989575308</v>
      </c>
      <c r="AC24" s="31">
        <v>265347741</v>
      </c>
      <c r="AD24" s="31">
        <v>225145719.69999996</v>
      </c>
      <c r="AE24" s="31">
        <v>299184015</v>
      </c>
      <c r="AF24" s="39">
        <v>0.75253258333337081</v>
      </c>
    </row>
    <row r="25" spans="1:32" ht="22.5" customHeight="1" thickTop="1">
      <c r="A25" s="103"/>
      <c r="B25" s="103"/>
      <c r="C25" s="103"/>
      <c r="D25" s="103"/>
      <c r="E25" s="103"/>
      <c r="F25" s="103"/>
      <c r="J25" s="21"/>
      <c r="K25" s="21"/>
      <c r="L25" s="21"/>
      <c r="M25" s="21"/>
      <c r="N25" s="26"/>
    </row>
    <row r="26" spans="1:32" ht="15.75">
      <c r="A26" s="103"/>
      <c r="B26" s="103"/>
      <c r="C26" s="103"/>
      <c r="D26" s="103"/>
      <c r="E26" s="103"/>
      <c r="F26" s="103"/>
      <c r="J26" s="21"/>
      <c r="K26" s="21"/>
      <c r="L26" s="21"/>
      <c r="M26" s="21"/>
      <c r="N26" s="26"/>
    </row>
    <row r="27" spans="1:32" ht="15.75">
      <c r="A27" s="103"/>
      <c r="B27" s="103"/>
      <c r="C27" s="103"/>
      <c r="D27" s="103"/>
      <c r="E27" s="103"/>
      <c r="F27" s="103"/>
    </row>
    <row r="28" spans="1:32" ht="15.75">
      <c r="A28" s="103"/>
      <c r="B28" s="103"/>
      <c r="C28" s="103"/>
      <c r="D28" s="103"/>
      <c r="E28" s="103"/>
      <c r="F28" s="103"/>
      <c r="K28" s="92"/>
    </row>
    <row r="29" spans="1:32" ht="15.75">
      <c r="A29" s="103"/>
      <c r="B29" s="103"/>
      <c r="C29" s="103"/>
      <c r="D29" s="103"/>
      <c r="E29" s="103"/>
      <c r="F29" s="103"/>
      <c r="L29" s="92"/>
    </row>
    <row r="30" spans="1:32" ht="15.75">
      <c r="A30" s="103"/>
      <c r="B30" s="103"/>
      <c r="C30" s="103"/>
      <c r="D30" s="103"/>
      <c r="E30" s="103"/>
      <c r="F30" s="103"/>
    </row>
    <row r="31" spans="1:32" ht="15.75">
      <c r="A31" s="103"/>
      <c r="B31" s="103"/>
      <c r="C31" s="103"/>
      <c r="D31" s="103"/>
      <c r="E31" s="103"/>
      <c r="F31" s="103"/>
    </row>
    <row r="32" spans="1:32" ht="15.75">
      <c r="A32" s="103"/>
      <c r="B32" s="103"/>
      <c r="C32" s="103"/>
      <c r="D32" s="103"/>
      <c r="E32" s="103"/>
      <c r="F32" s="103"/>
    </row>
    <row r="33" spans="1:37" ht="15.75">
      <c r="A33" s="103"/>
      <c r="B33" s="103"/>
      <c r="C33" s="103"/>
      <c r="D33" s="103"/>
      <c r="E33" s="103"/>
      <c r="F33" s="103"/>
    </row>
    <row r="34" spans="1:37" ht="15.75">
      <c r="A34" s="103"/>
      <c r="B34" s="103"/>
      <c r="C34" s="103"/>
      <c r="D34" s="103"/>
      <c r="E34" s="103"/>
      <c r="F34" s="103"/>
    </row>
    <row r="35" spans="1:37" ht="15.75">
      <c r="A35" s="103"/>
      <c r="B35" s="103"/>
      <c r="C35" s="103"/>
      <c r="D35" s="103"/>
      <c r="E35" s="103"/>
      <c r="F35" s="103"/>
    </row>
    <row r="36" spans="1:37" ht="15.75">
      <c r="A36" s="103"/>
      <c r="B36" s="103"/>
      <c r="C36" s="103"/>
      <c r="D36" s="103"/>
      <c r="E36" s="103"/>
      <c r="F36" s="103"/>
    </row>
    <row r="37" spans="1:37" ht="15.75">
      <c r="A37" s="103"/>
      <c r="B37" s="103"/>
      <c r="C37" s="103"/>
      <c r="D37" s="103"/>
      <c r="E37" s="103"/>
      <c r="F37" s="103"/>
    </row>
    <row r="38" spans="1:37" ht="15.75">
      <c r="A38" s="103"/>
      <c r="B38" s="103"/>
      <c r="C38" s="103"/>
      <c r="D38" s="103"/>
      <c r="E38" s="103"/>
      <c r="F38" s="103"/>
    </row>
    <row r="39" spans="1:37" ht="15.75">
      <c r="A39" s="103"/>
      <c r="B39" s="103"/>
      <c r="C39" s="103"/>
      <c r="D39" s="103"/>
      <c r="E39" s="103"/>
      <c r="F39" s="103"/>
    </row>
    <row r="40" spans="1:37" ht="15.75">
      <c r="A40" s="103"/>
      <c r="B40" s="103"/>
      <c r="C40" s="103"/>
      <c r="D40" s="103"/>
      <c r="E40" s="103"/>
      <c r="F40" s="103"/>
      <c r="J40" s="35"/>
      <c r="K40" s="35"/>
      <c r="L40" s="35"/>
      <c r="M40" s="35"/>
      <c r="N40" s="35"/>
    </row>
    <row r="41" spans="1:37" ht="15.75">
      <c r="A41" s="103"/>
      <c r="B41" s="103"/>
      <c r="C41" s="103"/>
      <c r="D41" s="103"/>
      <c r="E41" s="103"/>
      <c r="F41" s="103"/>
      <c r="J41" s="35"/>
      <c r="K41" s="35"/>
      <c r="L41" s="35"/>
      <c r="M41" s="35"/>
      <c r="N41" s="35"/>
    </row>
    <row r="42" spans="1:37" ht="15.75">
      <c r="A42" s="103"/>
      <c r="B42" s="103"/>
      <c r="C42" s="103"/>
      <c r="D42" s="103"/>
      <c r="E42" s="103"/>
      <c r="F42" s="103"/>
      <c r="J42" s="35"/>
      <c r="K42" s="35"/>
      <c r="L42" s="35"/>
      <c r="M42" s="35"/>
      <c r="N42" s="35"/>
    </row>
    <row r="43" spans="1:37" ht="15.75">
      <c r="A43" s="103"/>
      <c r="B43" s="103"/>
      <c r="C43" s="103"/>
      <c r="D43" s="103"/>
      <c r="E43" s="103"/>
      <c r="F43" s="103"/>
      <c r="J43" s="35"/>
      <c r="K43" s="35"/>
      <c r="L43" s="35"/>
      <c r="M43" s="35"/>
      <c r="N43" s="35"/>
    </row>
    <row r="44" spans="1:37" ht="15.75">
      <c r="A44" s="103"/>
      <c r="B44" s="103"/>
      <c r="C44" s="103"/>
      <c r="D44" s="103"/>
      <c r="E44" s="103"/>
      <c r="F44" s="103"/>
      <c r="J44" s="35"/>
      <c r="K44" s="35"/>
      <c r="L44" s="35"/>
      <c r="M44" s="35"/>
      <c r="N44" s="35"/>
    </row>
    <row r="45" spans="1:37" ht="15.75">
      <c r="A45" s="103"/>
      <c r="B45" s="103"/>
      <c r="C45" s="103"/>
      <c r="D45" s="103"/>
      <c r="E45" s="103"/>
      <c r="F45" s="103"/>
      <c r="J45" s="35"/>
      <c r="K45" s="35"/>
      <c r="L45" s="35"/>
      <c r="M45" s="35"/>
      <c r="N45" s="35"/>
    </row>
    <row r="46" spans="1:37" ht="33" customHeight="1">
      <c r="A46" s="125" t="s">
        <v>173</v>
      </c>
      <c r="B46" s="125"/>
      <c r="C46" s="125"/>
      <c r="D46" s="125"/>
      <c r="E46" s="125"/>
      <c r="F46" s="125"/>
      <c r="J46" s="35"/>
      <c r="K46" s="35"/>
      <c r="L46" s="35"/>
      <c r="M46" s="35"/>
      <c r="N46" s="35"/>
    </row>
    <row r="47" spans="1:37" ht="6.75" customHeight="1">
      <c r="A47" s="103"/>
      <c r="B47" s="101"/>
      <c r="C47" s="101"/>
      <c r="D47" s="101"/>
      <c r="E47" s="101"/>
      <c r="F47" s="103"/>
      <c r="J47" s="35"/>
      <c r="K47" s="35"/>
      <c r="L47" s="35"/>
      <c r="M47" s="35"/>
      <c r="N47" s="35"/>
    </row>
    <row r="48" spans="1:37" ht="36" customHeight="1">
      <c r="A48" s="126"/>
      <c r="B48" s="126"/>
      <c r="C48" s="109" t="s">
        <v>238</v>
      </c>
      <c r="D48" s="109" t="s">
        <v>253</v>
      </c>
      <c r="E48" s="109" t="s">
        <v>25</v>
      </c>
      <c r="F48" s="105" t="s">
        <v>254</v>
      </c>
      <c r="G48" s="10">
        <v>0.5</v>
      </c>
      <c r="H48" s="2" t="s">
        <v>43</v>
      </c>
      <c r="K48" s="40" t="s">
        <v>238</v>
      </c>
      <c r="L48" s="36" t="s">
        <v>252</v>
      </c>
      <c r="M48" s="37">
        <v>2013</v>
      </c>
      <c r="N48" s="40" t="s">
        <v>196</v>
      </c>
      <c r="O48" s="36" t="s">
        <v>212</v>
      </c>
      <c r="P48" s="37">
        <v>2012</v>
      </c>
      <c r="Q48" s="36" t="s">
        <v>201</v>
      </c>
      <c r="R48" s="40" t="s">
        <v>151</v>
      </c>
      <c r="S48" s="36" t="s">
        <v>213</v>
      </c>
      <c r="T48" s="37">
        <v>2011</v>
      </c>
      <c r="U48" s="36" t="s">
        <v>156</v>
      </c>
      <c r="V48" s="40" t="s">
        <v>94</v>
      </c>
      <c r="W48" s="36" t="s">
        <v>214</v>
      </c>
      <c r="X48" s="37">
        <v>2010</v>
      </c>
      <c r="Y48" s="36" t="s">
        <v>109</v>
      </c>
      <c r="Z48" s="36" t="s">
        <v>1</v>
      </c>
      <c r="AA48" s="36" t="s">
        <v>137</v>
      </c>
      <c r="AB48" s="37">
        <v>2009</v>
      </c>
      <c r="AC48" s="36" t="s">
        <v>111</v>
      </c>
      <c r="AD48" s="36">
        <v>2009</v>
      </c>
      <c r="AE48" s="36" t="s">
        <v>112</v>
      </c>
      <c r="AF48" s="36" t="s">
        <v>104</v>
      </c>
      <c r="AG48" s="36" t="s">
        <v>138</v>
      </c>
      <c r="AH48" s="37">
        <v>2008</v>
      </c>
      <c r="AI48" s="36" t="s">
        <v>114</v>
      </c>
      <c r="AJ48" s="36">
        <v>2008</v>
      </c>
      <c r="AK48" s="36" t="s">
        <v>115</v>
      </c>
    </row>
    <row r="49" spans="1:37" ht="15.75" customHeight="1">
      <c r="A49" s="119" t="s">
        <v>29</v>
      </c>
      <c r="B49" s="120"/>
      <c r="C49" s="113">
        <f>K49</f>
        <v>306822</v>
      </c>
      <c r="D49" s="112">
        <f>L49</f>
        <v>162631</v>
      </c>
      <c r="E49" s="106">
        <f t="shared" ref="E49:E62" si="7">(D49/C49)</f>
        <v>0.53004999641485939</v>
      </c>
      <c r="F49" s="113">
        <f>+G49-D49</f>
        <v>-9220</v>
      </c>
      <c r="G49" s="23">
        <f>C49*0.5</f>
        <v>153411</v>
      </c>
      <c r="H49" s="24">
        <f t="shared" ref="H49:H61" si="8">C49-D49</f>
        <v>144191</v>
      </c>
      <c r="I49" s="1">
        <v>0.5</v>
      </c>
      <c r="J49" s="35" t="s">
        <v>29</v>
      </c>
      <c r="K49" s="13">
        <v>306822</v>
      </c>
      <c r="L49" s="82">
        <v>162631</v>
      </c>
      <c r="M49" s="41">
        <f t="shared" ref="M49:M62" si="9">(L49/K49)</f>
        <v>0.53004999641485939</v>
      </c>
      <c r="N49" s="13">
        <v>304283</v>
      </c>
      <c r="O49" s="82">
        <v>132819.22</v>
      </c>
      <c r="P49" s="41">
        <f t="shared" ref="P49:P61" si="10">(O49/N49)</f>
        <v>0.43649898285477662</v>
      </c>
      <c r="Q49" s="13">
        <f>N49-O49</f>
        <v>171463.78</v>
      </c>
      <c r="R49" s="13">
        <v>359430</v>
      </c>
      <c r="S49" s="82">
        <v>139650</v>
      </c>
      <c r="T49" s="41">
        <f t="shared" ref="T49:T62" si="11">(S49/R49)</f>
        <v>0.38853184208329855</v>
      </c>
      <c r="U49" s="13">
        <f>R49-S49</f>
        <v>219780</v>
      </c>
      <c r="V49" s="13">
        <v>346531</v>
      </c>
      <c r="W49" s="13">
        <v>147348.93</v>
      </c>
      <c r="X49" s="41">
        <f t="shared" ref="X49:X62" si="12">(W49/V49)</f>
        <v>0.42521139522870965</v>
      </c>
      <c r="Y49" s="13">
        <f>V49-W49</f>
        <v>199182.07</v>
      </c>
      <c r="Z49" s="13">
        <v>351630</v>
      </c>
      <c r="AA49" s="13">
        <v>162798.17000000001</v>
      </c>
      <c r="AB49" s="41">
        <v>0.46298145778232808</v>
      </c>
      <c r="AC49" s="13">
        <v>525313</v>
      </c>
      <c r="AD49" s="41">
        <v>0.30990698878573347</v>
      </c>
      <c r="AE49" s="13">
        <v>188831.83</v>
      </c>
      <c r="AF49" s="13">
        <v>370277</v>
      </c>
      <c r="AG49" s="13">
        <v>160037.9</v>
      </c>
      <c r="AH49" s="41">
        <v>0.43221129046632656</v>
      </c>
      <c r="AI49" s="13">
        <v>727556</v>
      </c>
      <c r="AJ49" s="41">
        <v>0.21996643557334417</v>
      </c>
      <c r="AK49" s="13">
        <v>210239.1</v>
      </c>
    </row>
    <row r="50" spans="1:37" ht="15.75" customHeight="1">
      <c r="A50" s="119" t="s">
        <v>116</v>
      </c>
      <c r="B50" s="120"/>
      <c r="C50" s="110">
        <f>K50</f>
        <v>868091</v>
      </c>
      <c r="D50" s="110">
        <f>L50</f>
        <v>435155</v>
      </c>
      <c r="E50" s="106">
        <f t="shared" si="7"/>
        <v>0.50127809181295513</v>
      </c>
      <c r="F50" s="108">
        <f t="shared" ref="F50:F62" si="13">+G50-D50</f>
        <v>-1109.5</v>
      </c>
      <c r="G50" s="23">
        <f t="shared" ref="G50:G61" si="14">C50*0.5</f>
        <v>434045.5</v>
      </c>
      <c r="H50" s="25">
        <f t="shared" si="8"/>
        <v>432936</v>
      </c>
      <c r="I50" s="1">
        <v>0.5</v>
      </c>
      <c r="J50" s="35" t="s">
        <v>116</v>
      </c>
      <c r="K50" s="83">
        <v>868091</v>
      </c>
      <c r="L50" s="86">
        <v>435155</v>
      </c>
      <c r="M50" s="41">
        <f t="shared" si="9"/>
        <v>0.50127809181295513</v>
      </c>
      <c r="N50" s="83">
        <v>1166679</v>
      </c>
      <c r="O50" s="86">
        <v>560939.68000000005</v>
      </c>
      <c r="P50" s="41">
        <f t="shared" si="10"/>
        <v>0.48080035725336623</v>
      </c>
      <c r="Q50" s="42">
        <f t="shared" ref="Q50:Q61" si="15">N50-O50</f>
        <v>605739.31999999995</v>
      </c>
      <c r="R50" s="83">
        <v>1134812</v>
      </c>
      <c r="S50" s="86">
        <v>1751403</v>
      </c>
      <c r="T50" s="41">
        <f t="shared" si="11"/>
        <v>1.5433419808743651</v>
      </c>
      <c r="U50" s="42">
        <f t="shared" ref="U50:U61" si="16">R50-S50</f>
        <v>-616591</v>
      </c>
      <c r="V50" s="42">
        <v>1078918</v>
      </c>
      <c r="W50" s="42">
        <v>1525134.47</v>
      </c>
      <c r="X50" s="41">
        <f t="shared" si="12"/>
        <v>1.4135777417746298</v>
      </c>
      <c r="Y50" s="42">
        <f t="shared" ref="Y50:Y61" si="17">V50-W50</f>
        <v>-446216.47</v>
      </c>
      <c r="Z50" s="42">
        <v>1209220</v>
      </c>
      <c r="AA50" s="42">
        <v>1791530.07</v>
      </c>
      <c r="AB50" s="41">
        <v>1.4815584178230596</v>
      </c>
      <c r="AC50" s="42">
        <v>1275791</v>
      </c>
      <c r="AD50" s="41">
        <v>1.4042504375716713</v>
      </c>
      <c r="AE50" s="42">
        <v>-582310.07000000007</v>
      </c>
      <c r="AF50" s="42">
        <v>1199159</v>
      </c>
      <c r="AG50" s="42">
        <v>1219724.54</v>
      </c>
      <c r="AH50" s="41">
        <v>1.0171499692701302</v>
      </c>
      <c r="AI50" s="42">
        <v>1238216</v>
      </c>
      <c r="AJ50" s="41">
        <v>0.98506604663483599</v>
      </c>
      <c r="AK50" s="13">
        <v>-20565.540000000037</v>
      </c>
    </row>
    <row r="51" spans="1:37" ht="15.75" customHeight="1">
      <c r="A51" s="119" t="s">
        <v>131</v>
      </c>
      <c r="B51" s="120"/>
      <c r="C51" s="110">
        <f t="shared" ref="C51:D61" si="18">K51</f>
        <v>44841468</v>
      </c>
      <c r="D51" s="110">
        <f t="shared" si="18"/>
        <v>37755658</v>
      </c>
      <c r="E51" s="106">
        <f t="shared" si="7"/>
        <v>0.84198086467641964</v>
      </c>
      <c r="F51" s="108">
        <f t="shared" si="13"/>
        <v>-15334924</v>
      </c>
      <c r="G51" s="23">
        <f t="shared" si="14"/>
        <v>22420734</v>
      </c>
      <c r="H51" s="25">
        <f t="shared" si="8"/>
        <v>7085810</v>
      </c>
      <c r="I51" s="1">
        <v>0.5</v>
      </c>
      <c r="J51" s="35" t="s">
        <v>131</v>
      </c>
      <c r="K51" s="83">
        <v>44841468</v>
      </c>
      <c r="L51" s="86">
        <v>37755658</v>
      </c>
      <c r="M51" s="41">
        <f t="shared" si="9"/>
        <v>0.84198086467641964</v>
      </c>
      <c r="N51" s="83">
        <v>43927702</v>
      </c>
      <c r="O51" s="86">
        <v>34951925.020000003</v>
      </c>
      <c r="P51" s="41">
        <f t="shared" si="10"/>
        <v>0.79566932547484504</v>
      </c>
      <c r="Q51" s="42">
        <f t="shared" si="15"/>
        <v>8975776.9799999967</v>
      </c>
      <c r="R51" s="83">
        <v>43487800</v>
      </c>
      <c r="S51" s="86">
        <v>37462677</v>
      </c>
      <c r="T51" s="41">
        <f t="shared" si="11"/>
        <v>0.86145256830651351</v>
      </c>
      <c r="U51" s="42">
        <f t="shared" si="16"/>
        <v>6025123</v>
      </c>
      <c r="V51" s="42">
        <v>43665123</v>
      </c>
      <c r="W51" s="42">
        <v>35053226.109999999</v>
      </c>
      <c r="X51" s="41">
        <f t="shared" si="12"/>
        <v>0.80277401508751045</v>
      </c>
      <c r="Y51" s="42">
        <f t="shared" si="17"/>
        <v>8611896.8900000006</v>
      </c>
      <c r="Z51" s="42">
        <v>42789548</v>
      </c>
      <c r="AA51" s="42">
        <v>34011444.530000001</v>
      </c>
      <c r="AB51" s="41">
        <v>0.79485402673568795</v>
      </c>
      <c r="AC51" s="42">
        <v>47916306</v>
      </c>
      <c r="AD51" s="41">
        <v>0.70980940246103286</v>
      </c>
      <c r="AE51" s="42">
        <v>8778103.4699999988</v>
      </c>
      <c r="AF51" s="42">
        <v>39688692</v>
      </c>
      <c r="AG51" s="42">
        <v>31604478.079999998</v>
      </c>
      <c r="AH51" s="41">
        <v>0.79630938908241167</v>
      </c>
      <c r="AI51" s="42">
        <v>50299627</v>
      </c>
      <c r="AJ51" s="41">
        <v>0.6283243030808161</v>
      </c>
      <c r="AK51" s="13">
        <v>8084213.9200000018</v>
      </c>
    </row>
    <row r="52" spans="1:37" ht="15.75" customHeight="1">
      <c r="A52" s="119" t="s">
        <v>30</v>
      </c>
      <c r="B52" s="120"/>
      <c r="C52" s="110">
        <f t="shared" si="18"/>
        <v>3847599</v>
      </c>
      <c r="D52" s="110">
        <f t="shared" si="18"/>
        <v>1646423</v>
      </c>
      <c r="E52" s="106">
        <f t="shared" si="7"/>
        <v>0.42790919739816963</v>
      </c>
      <c r="F52" s="108">
        <f t="shared" si="13"/>
        <v>277376.5</v>
      </c>
      <c r="G52" s="23">
        <f t="shared" si="14"/>
        <v>1923799.5</v>
      </c>
      <c r="H52" s="25">
        <f t="shared" si="8"/>
        <v>2201176</v>
      </c>
      <c r="I52" s="1">
        <v>0.5</v>
      </c>
      <c r="J52" s="35" t="s">
        <v>30</v>
      </c>
      <c r="K52" s="83">
        <v>3847599</v>
      </c>
      <c r="L52" s="86">
        <v>1646423</v>
      </c>
      <c r="M52" s="41">
        <f t="shared" si="9"/>
        <v>0.42790919739816963</v>
      </c>
      <c r="N52" s="83">
        <v>3539581</v>
      </c>
      <c r="O52" s="86">
        <v>1181233.3400000001</v>
      </c>
      <c r="P52" s="41">
        <f t="shared" si="10"/>
        <v>0.3337212342364817</v>
      </c>
      <c r="Q52" s="42">
        <f t="shared" si="15"/>
        <v>2358347.66</v>
      </c>
      <c r="R52" s="83">
        <v>2892101</v>
      </c>
      <c r="S52" s="86">
        <v>991365</v>
      </c>
      <c r="T52" s="41">
        <f t="shared" si="11"/>
        <v>0.34278367180122687</v>
      </c>
      <c r="U52" s="42">
        <f t="shared" si="16"/>
        <v>1900736</v>
      </c>
      <c r="V52" s="42">
        <v>3263326</v>
      </c>
      <c r="W52" s="42">
        <v>1757717.35</v>
      </c>
      <c r="X52" s="41">
        <f t="shared" si="12"/>
        <v>0.53862756892814267</v>
      </c>
      <c r="Y52" s="42">
        <f t="shared" si="17"/>
        <v>1505608.65</v>
      </c>
      <c r="Z52" s="42">
        <v>3360551</v>
      </c>
      <c r="AA52" s="42">
        <v>1544489.4300000002</v>
      </c>
      <c r="AB52" s="41">
        <v>0.45959410525238276</v>
      </c>
      <c r="AC52" s="42">
        <v>3318332</v>
      </c>
      <c r="AD52" s="41">
        <v>0.4654415019353097</v>
      </c>
      <c r="AE52" s="42">
        <v>1816061.5699999998</v>
      </c>
      <c r="AF52" s="42">
        <v>2433415</v>
      </c>
      <c r="AG52" s="42">
        <v>1381115.9300000002</v>
      </c>
      <c r="AH52" s="41">
        <v>0.56756284069918206</v>
      </c>
      <c r="AI52" s="42">
        <v>3139760</v>
      </c>
      <c r="AJ52" s="41">
        <v>0.43987945893953684</v>
      </c>
      <c r="AK52" s="13">
        <v>1052299.0699999998</v>
      </c>
    </row>
    <row r="53" spans="1:37" ht="15.75" customHeight="1">
      <c r="A53" s="119" t="s">
        <v>15</v>
      </c>
      <c r="B53" s="120"/>
      <c r="C53" s="110">
        <f t="shared" si="18"/>
        <v>10587235</v>
      </c>
      <c r="D53" s="110">
        <f t="shared" si="18"/>
        <v>4511835</v>
      </c>
      <c r="E53" s="106">
        <f t="shared" si="7"/>
        <v>0.42615801009423138</v>
      </c>
      <c r="F53" s="108">
        <f t="shared" si="13"/>
        <v>781782.5</v>
      </c>
      <c r="G53" s="23">
        <f t="shared" si="14"/>
        <v>5293617.5</v>
      </c>
      <c r="H53" s="25">
        <f t="shared" si="8"/>
        <v>6075400</v>
      </c>
      <c r="I53" s="1">
        <v>0.5</v>
      </c>
      <c r="J53" s="35" t="s">
        <v>15</v>
      </c>
      <c r="K53" s="83">
        <v>10587235</v>
      </c>
      <c r="L53" s="86">
        <v>4511835</v>
      </c>
      <c r="M53" s="41">
        <f t="shared" si="9"/>
        <v>0.42615801009423138</v>
      </c>
      <c r="N53" s="83">
        <v>10245180</v>
      </c>
      <c r="O53" s="86">
        <v>5458810.4699999997</v>
      </c>
      <c r="P53" s="41">
        <f t="shared" si="10"/>
        <v>0.5328174292691783</v>
      </c>
      <c r="Q53" s="42">
        <f t="shared" si="15"/>
        <v>4786369.53</v>
      </c>
      <c r="R53" s="83">
        <v>10586321</v>
      </c>
      <c r="S53" s="86">
        <v>5265073</v>
      </c>
      <c r="T53" s="41">
        <f t="shared" si="11"/>
        <v>0.49734681198501351</v>
      </c>
      <c r="U53" s="42">
        <f t="shared" si="16"/>
        <v>5321248</v>
      </c>
      <c r="V53" s="42">
        <v>10604579</v>
      </c>
      <c r="W53" s="42">
        <v>5580579.9500000002</v>
      </c>
      <c r="X53" s="41">
        <f t="shared" si="12"/>
        <v>0.52624247978161132</v>
      </c>
      <c r="Y53" s="42">
        <f t="shared" si="17"/>
        <v>5023999.05</v>
      </c>
      <c r="Z53" s="42">
        <v>10906229</v>
      </c>
      <c r="AA53" s="42">
        <v>5148824.4700000007</v>
      </c>
      <c r="AB53" s="41">
        <v>0.47209942776737962</v>
      </c>
      <c r="AC53" s="42">
        <v>11732575</v>
      </c>
      <c r="AD53" s="41">
        <v>0.43884863041574423</v>
      </c>
      <c r="AE53" s="42">
        <v>5757404.5299999993</v>
      </c>
      <c r="AF53" s="42">
        <v>9925189</v>
      </c>
      <c r="AG53" s="42">
        <v>5101042.6500000004</v>
      </c>
      <c r="AH53" s="41">
        <v>0.51394917013670982</v>
      </c>
      <c r="AI53" s="42">
        <v>10236244</v>
      </c>
      <c r="AJ53" s="41">
        <v>0.49833148271963823</v>
      </c>
      <c r="AK53" s="13">
        <v>4824146.3499999996</v>
      </c>
    </row>
    <row r="54" spans="1:37" ht="15.75" customHeight="1">
      <c r="A54" s="119" t="s">
        <v>14</v>
      </c>
      <c r="B54" s="120"/>
      <c r="C54" s="110">
        <f t="shared" si="18"/>
        <v>37241658</v>
      </c>
      <c r="D54" s="110">
        <f t="shared" si="18"/>
        <v>13313040</v>
      </c>
      <c r="E54" s="106">
        <f t="shared" si="7"/>
        <v>0.35747710265745958</v>
      </c>
      <c r="F54" s="108">
        <f t="shared" si="13"/>
        <v>5307789</v>
      </c>
      <c r="G54" s="23">
        <f t="shared" si="14"/>
        <v>18620829</v>
      </c>
      <c r="H54" s="25">
        <f t="shared" si="8"/>
        <v>23928618</v>
      </c>
      <c r="I54" s="1">
        <v>0.5</v>
      </c>
      <c r="J54" s="35" t="s">
        <v>205</v>
      </c>
      <c r="K54" s="83">
        <v>37241658</v>
      </c>
      <c r="L54" s="86">
        <v>13313040</v>
      </c>
      <c r="M54" s="41">
        <f t="shared" si="9"/>
        <v>0.35747710265745958</v>
      </c>
      <c r="N54" s="83">
        <v>35621648</v>
      </c>
      <c r="O54" s="86">
        <v>13285639.1</v>
      </c>
      <c r="P54" s="41">
        <f t="shared" si="10"/>
        <v>0.37296531311521575</v>
      </c>
      <c r="Q54" s="42">
        <f t="shared" si="15"/>
        <v>22336008.899999999</v>
      </c>
      <c r="R54" s="83">
        <v>41179358</v>
      </c>
      <c r="S54" s="86">
        <v>17901019</v>
      </c>
      <c r="T54" s="41">
        <f t="shared" si="11"/>
        <v>0.43470854985160284</v>
      </c>
      <c r="U54" s="42">
        <f t="shared" si="16"/>
        <v>23278339</v>
      </c>
      <c r="V54" s="42">
        <v>40714461</v>
      </c>
      <c r="W54" s="42">
        <v>17620089.010000002</v>
      </c>
      <c r="X54" s="41">
        <f t="shared" si="12"/>
        <v>0.43277225283665188</v>
      </c>
      <c r="Y54" s="42">
        <f t="shared" si="17"/>
        <v>23094371.989999998</v>
      </c>
      <c r="Z54" s="42">
        <v>39128938</v>
      </c>
      <c r="AA54" s="42">
        <v>15298771.359999999</v>
      </c>
      <c r="AB54" s="41">
        <v>0.39098355697770276</v>
      </c>
      <c r="AC54" s="42">
        <v>41658952</v>
      </c>
      <c r="AD54" s="41">
        <v>0.36723850758415622</v>
      </c>
      <c r="AE54" s="42">
        <v>23830166.640000001</v>
      </c>
      <c r="AF54" s="42">
        <v>37639150</v>
      </c>
      <c r="AG54" s="42">
        <v>11355359.810000001</v>
      </c>
      <c r="AH54" s="41">
        <v>0.30169012344859009</v>
      </c>
      <c r="AI54" s="42">
        <v>36096874</v>
      </c>
      <c r="AJ54" s="41">
        <v>0.31458014369886989</v>
      </c>
      <c r="AK54" s="13">
        <v>26283790.189999998</v>
      </c>
    </row>
    <row r="55" spans="1:37" ht="15.75" customHeight="1">
      <c r="A55" s="119" t="s">
        <v>117</v>
      </c>
      <c r="B55" s="120"/>
      <c r="C55" s="110">
        <f t="shared" si="18"/>
        <v>18059452</v>
      </c>
      <c r="D55" s="110">
        <f t="shared" si="18"/>
        <v>8165779</v>
      </c>
      <c r="E55" s="106">
        <f t="shared" si="7"/>
        <v>0.45216095150616975</v>
      </c>
      <c r="F55" s="108">
        <f t="shared" si="13"/>
        <v>863947</v>
      </c>
      <c r="G55" s="23">
        <f t="shared" si="14"/>
        <v>9029726</v>
      </c>
      <c r="H55" s="25">
        <f t="shared" si="8"/>
        <v>9893673</v>
      </c>
      <c r="I55" s="1">
        <v>0.5</v>
      </c>
      <c r="J55" s="35" t="s">
        <v>117</v>
      </c>
      <c r="K55" s="83">
        <v>18059452</v>
      </c>
      <c r="L55" s="86">
        <v>8165779</v>
      </c>
      <c r="M55" s="41">
        <f t="shared" si="9"/>
        <v>0.45216095150616975</v>
      </c>
      <c r="N55" s="83">
        <v>17339921</v>
      </c>
      <c r="O55" s="86">
        <v>8354114.6100000003</v>
      </c>
      <c r="P55" s="41">
        <f t="shared" si="10"/>
        <v>0.48178504446473547</v>
      </c>
      <c r="Q55" s="42">
        <f t="shared" si="15"/>
        <v>8985806.3900000006</v>
      </c>
      <c r="R55" s="83">
        <v>19492602</v>
      </c>
      <c r="S55" s="86">
        <v>8658087</v>
      </c>
      <c r="T55" s="41">
        <f t="shared" si="11"/>
        <v>0.4441729739313407</v>
      </c>
      <c r="U55" s="42">
        <f t="shared" si="16"/>
        <v>10834515</v>
      </c>
      <c r="V55" s="42">
        <v>17404071</v>
      </c>
      <c r="W55" s="42">
        <v>9665369.1099999994</v>
      </c>
      <c r="X55" s="41">
        <f t="shared" si="12"/>
        <v>0.55535105033759047</v>
      </c>
      <c r="Y55" s="42">
        <f t="shared" si="17"/>
        <v>7738701.8900000006</v>
      </c>
      <c r="Z55" s="42">
        <v>17368061</v>
      </c>
      <c r="AA55" s="42">
        <v>8576793.1199999992</v>
      </c>
      <c r="AB55" s="41">
        <v>0.49382559860884867</v>
      </c>
      <c r="AC55" s="42">
        <v>17937753</v>
      </c>
      <c r="AD55" s="41">
        <v>0.47814200139783392</v>
      </c>
      <c r="AE55" s="42">
        <v>8791267.8800000008</v>
      </c>
      <c r="AF55" s="42">
        <v>17183257</v>
      </c>
      <c r="AG55" s="42">
        <v>7080681.1200000001</v>
      </c>
      <c r="AH55" s="41">
        <v>0.41206862703618996</v>
      </c>
      <c r="AI55" s="42">
        <v>15836617</v>
      </c>
      <c r="AJ55" s="41">
        <v>0.44710818731045904</v>
      </c>
      <c r="AK55" s="13">
        <v>10102575.879999999</v>
      </c>
    </row>
    <row r="56" spans="1:37" ht="15.75" customHeight="1">
      <c r="A56" s="119" t="s">
        <v>31</v>
      </c>
      <c r="B56" s="120"/>
      <c r="C56" s="110">
        <f t="shared" si="18"/>
        <v>17302343</v>
      </c>
      <c r="D56" s="110">
        <f t="shared" si="18"/>
        <v>7291602</v>
      </c>
      <c r="E56" s="106">
        <f t="shared" si="7"/>
        <v>0.42142280961601558</v>
      </c>
      <c r="F56" s="108">
        <f t="shared" si="13"/>
        <v>1359569.5</v>
      </c>
      <c r="G56" s="23">
        <f t="shared" si="14"/>
        <v>8651171.5</v>
      </c>
      <c r="H56" s="25">
        <f t="shared" si="8"/>
        <v>10010741</v>
      </c>
      <c r="I56" s="1">
        <v>0.5</v>
      </c>
      <c r="J56" s="35" t="s">
        <v>31</v>
      </c>
      <c r="K56" s="83">
        <v>17302343</v>
      </c>
      <c r="L56" s="86">
        <v>7291602</v>
      </c>
      <c r="M56" s="41">
        <f t="shared" si="9"/>
        <v>0.42142280961601558</v>
      </c>
      <c r="N56" s="83">
        <v>17000798</v>
      </c>
      <c r="O56" s="86">
        <v>8651472.4900000002</v>
      </c>
      <c r="P56" s="41">
        <f t="shared" si="10"/>
        <v>0.50888625875091276</v>
      </c>
      <c r="Q56" s="42">
        <f t="shared" si="15"/>
        <v>8349325.5099999998</v>
      </c>
      <c r="R56" s="83">
        <v>17117766</v>
      </c>
      <c r="S56" s="86">
        <v>8347951</v>
      </c>
      <c r="T56" s="41">
        <f t="shared" si="11"/>
        <v>0.48767759764913249</v>
      </c>
      <c r="U56" s="42">
        <f t="shared" si="16"/>
        <v>8769815</v>
      </c>
      <c r="V56" s="42">
        <v>17413314</v>
      </c>
      <c r="W56" s="42">
        <v>8874392.9399999995</v>
      </c>
      <c r="X56" s="41">
        <f t="shared" si="12"/>
        <v>0.50963262593208847</v>
      </c>
      <c r="Y56" s="42">
        <f t="shared" si="17"/>
        <v>8538921.0600000005</v>
      </c>
      <c r="Z56" s="42">
        <v>17278014</v>
      </c>
      <c r="AA56" s="42">
        <v>8310298.7700000005</v>
      </c>
      <c r="AB56" s="41">
        <v>0.48097534647211193</v>
      </c>
      <c r="AC56" s="42">
        <v>17898937</v>
      </c>
      <c r="AD56" s="41">
        <v>0.46429007320378862</v>
      </c>
      <c r="AE56" s="42">
        <v>8967715.2300000004</v>
      </c>
      <c r="AF56" s="42">
        <v>16892588</v>
      </c>
      <c r="AG56" s="42">
        <v>7887350.6899999995</v>
      </c>
      <c r="AH56" s="41">
        <v>0.46691191959455824</v>
      </c>
      <c r="AI56" s="42">
        <v>17511804</v>
      </c>
      <c r="AJ56" s="41">
        <v>0.45040195116391202</v>
      </c>
      <c r="AK56" s="13">
        <v>9005237.3100000005</v>
      </c>
    </row>
    <row r="57" spans="1:37" ht="15.75" customHeight="1">
      <c r="A57" s="119" t="s">
        <v>32</v>
      </c>
      <c r="B57" s="120"/>
      <c r="C57" s="110">
        <f t="shared" si="18"/>
        <v>10551894</v>
      </c>
      <c r="D57" s="110">
        <f t="shared" si="18"/>
        <v>4584178</v>
      </c>
      <c r="E57" s="106">
        <f t="shared" si="7"/>
        <v>0.43444124817781526</v>
      </c>
      <c r="F57" s="108">
        <f t="shared" si="13"/>
        <v>691769</v>
      </c>
      <c r="G57" s="23">
        <f t="shared" si="14"/>
        <v>5275947</v>
      </c>
      <c r="H57" s="25">
        <f t="shared" si="8"/>
        <v>5967716</v>
      </c>
      <c r="I57" s="1">
        <v>0.5</v>
      </c>
      <c r="J57" s="35" t="s">
        <v>32</v>
      </c>
      <c r="K57" s="83">
        <v>10551894</v>
      </c>
      <c r="L57" s="86">
        <v>4584178</v>
      </c>
      <c r="M57" s="41">
        <f t="shared" si="9"/>
        <v>0.43444124817781526</v>
      </c>
      <c r="N57" s="83">
        <v>10468040</v>
      </c>
      <c r="O57" s="86">
        <v>5434989.46</v>
      </c>
      <c r="P57" s="41">
        <f t="shared" si="10"/>
        <v>0.51919838479791824</v>
      </c>
      <c r="Q57" s="42">
        <f t="shared" si="15"/>
        <v>5033050.54</v>
      </c>
      <c r="R57" s="83">
        <v>10895570</v>
      </c>
      <c r="S57" s="86">
        <v>5491960</v>
      </c>
      <c r="T57" s="41">
        <f t="shared" si="11"/>
        <v>0.50405440009104618</v>
      </c>
      <c r="U57" s="42">
        <f t="shared" si="16"/>
        <v>5403610</v>
      </c>
      <c r="V57" s="42">
        <v>10775827</v>
      </c>
      <c r="W57" s="42">
        <v>5789049.0099999998</v>
      </c>
      <c r="X57" s="41">
        <f t="shared" si="12"/>
        <v>0.53722549647465567</v>
      </c>
      <c r="Y57" s="42">
        <f t="shared" si="17"/>
        <v>4986777.99</v>
      </c>
      <c r="Z57" s="42">
        <v>10462445</v>
      </c>
      <c r="AA57" s="42">
        <v>5235693.53</v>
      </c>
      <c r="AB57" s="41">
        <v>0.50042734083667828</v>
      </c>
      <c r="AC57" s="42">
        <v>10559987</v>
      </c>
      <c r="AD57" s="41">
        <v>0.49580492191893799</v>
      </c>
      <c r="AE57" s="42">
        <v>5226751.47</v>
      </c>
      <c r="AF57" s="42">
        <v>10123030</v>
      </c>
      <c r="AG57" s="42">
        <v>5045943.1099999994</v>
      </c>
      <c r="AH57" s="41">
        <v>0.49846173625880785</v>
      </c>
      <c r="AI57" s="42">
        <v>10223818</v>
      </c>
      <c r="AJ57" s="41">
        <v>0.49354782234973271</v>
      </c>
      <c r="AK57" s="13">
        <v>5077086.8900000006</v>
      </c>
    </row>
    <row r="58" spans="1:37" ht="15.75" customHeight="1">
      <c r="A58" s="119" t="s">
        <v>33</v>
      </c>
      <c r="B58" s="120"/>
      <c r="C58" s="110">
        <f t="shared" si="18"/>
        <v>12219036</v>
      </c>
      <c r="D58" s="110">
        <f t="shared" si="18"/>
        <v>6031850</v>
      </c>
      <c r="E58" s="106">
        <f t="shared" si="7"/>
        <v>0.49364368842190171</v>
      </c>
      <c r="F58" s="108">
        <f t="shared" si="13"/>
        <v>77668</v>
      </c>
      <c r="G58" s="23">
        <f t="shared" si="14"/>
        <v>6109518</v>
      </c>
      <c r="H58" s="25">
        <f t="shared" si="8"/>
        <v>6187186</v>
      </c>
      <c r="I58" s="1">
        <v>0.5</v>
      </c>
      <c r="J58" s="35" t="s">
        <v>33</v>
      </c>
      <c r="K58" s="83">
        <v>12219036</v>
      </c>
      <c r="L58" s="86">
        <v>6031850</v>
      </c>
      <c r="M58" s="41">
        <f t="shared" si="9"/>
        <v>0.49364368842190171</v>
      </c>
      <c r="N58" s="83">
        <v>13924247</v>
      </c>
      <c r="O58" s="86">
        <v>6037267.8700000001</v>
      </c>
      <c r="P58" s="41">
        <f t="shared" si="10"/>
        <v>0.43357948691947218</v>
      </c>
      <c r="Q58" s="42">
        <f t="shared" si="15"/>
        <v>7886979.1299999999</v>
      </c>
      <c r="R58" s="83">
        <v>11591817</v>
      </c>
      <c r="S58" s="86">
        <v>16536076</v>
      </c>
      <c r="T58" s="41">
        <f t="shared" si="11"/>
        <v>1.4265301117158768</v>
      </c>
      <c r="U58" s="42">
        <f t="shared" si="16"/>
        <v>-4944259</v>
      </c>
      <c r="V58" s="42">
        <v>13414559</v>
      </c>
      <c r="W58" s="42">
        <v>7489826.7000000002</v>
      </c>
      <c r="X58" s="41">
        <f t="shared" si="12"/>
        <v>0.5583356635130533</v>
      </c>
      <c r="Y58" s="42">
        <f t="shared" si="17"/>
        <v>5924732.2999999998</v>
      </c>
      <c r="Z58" s="42">
        <v>13483773</v>
      </c>
      <c r="AA58" s="42">
        <v>11711630.540000001</v>
      </c>
      <c r="AB58" s="41">
        <v>0.86857221194690837</v>
      </c>
      <c r="AC58" s="42">
        <v>25988724</v>
      </c>
      <c r="AD58" s="41">
        <v>0.45064276876386855</v>
      </c>
      <c r="AE58" s="42">
        <v>1772142.459999999</v>
      </c>
      <c r="AF58" s="42">
        <v>13190056</v>
      </c>
      <c r="AG58" s="42">
        <v>10805359.48</v>
      </c>
      <c r="AH58" s="41">
        <v>0.81920497380754109</v>
      </c>
      <c r="AI58" s="42">
        <v>40957636</v>
      </c>
      <c r="AJ58" s="41">
        <v>0.26381794789132851</v>
      </c>
      <c r="AK58" s="13">
        <v>2384696.5199999996</v>
      </c>
    </row>
    <row r="59" spans="1:37" ht="15.75" customHeight="1">
      <c r="A59" s="119" t="s">
        <v>34</v>
      </c>
      <c r="B59" s="120"/>
      <c r="C59" s="110">
        <f t="shared" si="18"/>
        <v>62722061</v>
      </c>
      <c r="D59" s="110">
        <f t="shared" si="18"/>
        <v>28732880</v>
      </c>
      <c r="E59" s="106">
        <f t="shared" si="7"/>
        <v>0.45809846714061264</v>
      </c>
      <c r="F59" s="108">
        <f t="shared" si="13"/>
        <v>2628150.5</v>
      </c>
      <c r="G59" s="23">
        <f t="shared" si="14"/>
        <v>31361030.5</v>
      </c>
      <c r="H59" s="25">
        <f t="shared" si="8"/>
        <v>33989181</v>
      </c>
      <c r="I59" s="1">
        <v>0.5</v>
      </c>
      <c r="J59" s="35" t="s">
        <v>34</v>
      </c>
      <c r="K59" s="83">
        <v>62722061</v>
      </c>
      <c r="L59" s="86">
        <v>28732880</v>
      </c>
      <c r="M59" s="41">
        <f t="shared" si="9"/>
        <v>0.45809846714061264</v>
      </c>
      <c r="N59" s="83">
        <v>63810544</v>
      </c>
      <c r="O59" s="86">
        <v>34442234.340000004</v>
      </c>
      <c r="P59" s="41">
        <f t="shared" si="10"/>
        <v>0.53975772938089983</v>
      </c>
      <c r="Q59" s="42">
        <f t="shared" si="15"/>
        <v>29368309.659999996</v>
      </c>
      <c r="R59" s="83">
        <v>65349602</v>
      </c>
      <c r="S59" s="86">
        <v>33346743</v>
      </c>
      <c r="T59" s="41">
        <f t="shared" si="11"/>
        <v>0.51028226614142191</v>
      </c>
      <c r="U59" s="42">
        <f t="shared" si="16"/>
        <v>32002859</v>
      </c>
      <c r="V59" s="42">
        <v>65544767</v>
      </c>
      <c r="W59" s="42">
        <v>35211365.259999998</v>
      </c>
      <c r="X59" s="41">
        <f t="shared" si="12"/>
        <v>0.53721093035543166</v>
      </c>
      <c r="Y59" s="42">
        <f t="shared" si="17"/>
        <v>30333401.740000002</v>
      </c>
      <c r="Z59" s="42">
        <v>65608655</v>
      </c>
      <c r="AA59" s="42">
        <v>32566145.509999998</v>
      </c>
      <c r="AB59" s="41">
        <v>0.49636965595469068</v>
      </c>
      <c r="AC59" s="42">
        <v>58058647</v>
      </c>
      <c r="AD59" s="41">
        <v>0.56091809218358113</v>
      </c>
      <c r="AE59" s="42">
        <v>33042509.490000002</v>
      </c>
      <c r="AF59" s="42">
        <v>64075535</v>
      </c>
      <c r="AG59" s="42">
        <v>32507374.360000003</v>
      </c>
      <c r="AH59" s="41">
        <v>0.50732895730016148</v>
      </c>
      <c r="AI59" s="42">
        <v>57996969</v>
      </c>
      <c r="AJ59" s="41">
        <v>0.56050126274702394</v>
      </c>
      <c r="AK59" s="13">
        <v>31568160.639999997</v>
      </c>
    </row>
    <row r="60" spans="1:37" ht="15.75" customHeight="1">
      <c r="A60" s="119" t="s">
        <v>132</v>
      </c>
      <c r="B60" s="120"/>
      <c r="C60" s="110">
        <f t="shared" si="18"/>
        <v>20550895</v>
      </c>
      <c r="D60" s="110">
        <f t="shared" si="18"/>
        <v>9669404</v>
      </c>
      <c r="E60" s="106">
        <f t="shared" si="7"/>
        <v>0.47051011646938007</v>
      </c>
      <c r="F60" s="108">
        <f t="shared" si="13"/>
        <v>606043.5</v>
      </c>
      <c r="G60" s="23">
        <f t="shared" si="14"/>
        <v>10275447.5</v>
      </c>
      <c r="H60" s="25">
        <f t="shared" si="8"/>
        <v>10881491</v>
      </c>
      <c r="I60" s="1">
        <v>0.5</v>
      </c>
      <c r="J60" s="35" t="s">
        <v>132</v>
      </c>
      <c r="K60" s="83">
        <v>20550895</v>
      </c>
      <c r="L60" s="86">
        <v>9669404</v>
      </c>
      <c r="M60" s="41">
        <f t="shared" si="9"/>
        <v>0.47051011646938007</v>
      </c>
      <c r="N60" s="83">
        <v>19894693</v>
      </c>
      <c r="O60" s="86">
        <v>12082938.189999999</v>
      </c>
      <c r="P60" s="41">
        <f t="shared" si="10"/>
        <v>0.60734479240267736</v>
      </c>
      <c r="Q60" s="42">
        <f t="shared" si="15"/>
        <v>7811754.8100000005</v>
      </c>
      <c r="R60" s="83">
        <v>19688923</v>
      </c>
      <c r="S60" s="86">
        <v>29414617</v>
      </c>
      <c r="T60" s="41">
        <f t="shared" si="11"/>
        <v>1.4939678010828727</v>
      </c>
      <c r="U60" s="42">
        <f t="shared" si="16"/>
        <v>-9725694</v>
      </c>
      <c r="V60" s="42">
        <v>19347332</v>
      </c>
      <c r="W60" s="42">
        <v>33195586.399999999</v>
      </c>
      <c r="X60" s="41">
        <f t="shared" si="12"/>
        <v>1.7157707533007651</v>
      </c>
      <c r="Y60" s="42">
        <f t="shared" si="17"/>
        <v>-13848254.399999999</v>
      </c>
      <c r="Z60" s="42">
        <v>19861346</v>
      </c>
      <c r="AA60" s="42">
        <v>23470164.149999999</v>
      </c>
      <c r="AB60" s="41">
        <v>1.1817005831326839</v>
      </c>
      <c r="AC60" s="42">
        <v>38533167</v>
      </c>
      <c r="AD60" s="41">
        <v>0.60908993413388524</v>
      </c>
      <c r="AE60" s="42">
        <v>-3608818.1499999985</v>
      </c>
      <c r="AF60" s="42">
        <v>17022879</v>
      </c>
      <c r="AG60" s="42">
        <v>25684205.489999998</v>
      </c>
      <c r="AH60" s="41">
        <v>1.508805031745805</v>
      </c>
      <c r="AI60" s="42">
        <v>37697948</v>
      </c>
      <c r="AJ60" s="41">
        <v>0.68131574402935668</v>
      </c>
      <c r="AK60" s="13">
        <v>-8661326.4899999984</v>
      </c>
    </row>
    <row r="61" spans="1:37" ht="15.75" customHeight="1" thickBot="1">
      <c r="A61" s="119" t="s">
        <v>255</v>
      </c>
      <c r="B61" s="120"/>
      <c r="C61" s="110">
        <f t="shared" si="18"/>
        <v>20015145</v>
      </c>
      <c r="D61" s="110">
        <f t="shared" si="18"/>
        <v>17412028</v>
      </c>
      <c r="E61" s="106">
        <f t="shared" si="7"/>
        <v>0.86994263593893528</v>
      </c>
      <c r="F61" s="108">
        <f t="shared" si="13"/>
        <v>-7404455.5</v>
      </c>
      <c r="G61" s="23">
        <f t="shared" si="14"/>
        <v>10007572.5</v>
      </c>
      <c r="H61" s="25">
        <f t="shared" si="8"/>
        <v>2603117</v>
      </c>
      <c r="I61" s="1">
        <v>0.5</v>
      </c>
      <c r="J61" s="35" t="s">
        <v>255</v>
      </c>
      <c r="K61" s="84">
        <v>20015145</v>
      </c>
      <c r="L61" s="87">
        <v>17412028</v>
      </c>
      <c r="M61" s="38">
        <f t="shared" si="9"/>
        <v>0.86994263593893528</v>
      </c>
      <c r="N61" s="84">
        <v>27624277</v>
      </c>
      <c r="O61" s="87">
        <v>19537289.239999998</v>
      </c>
      <c r="P61" s="38">
        <f t="shared" si="10"/>
        <v>0.70725069981017052</v>
      </c>
      <c r="Q61" s="44">
        <f t="shared" si="15"/>
        <v>8086987.7600000016</v>
      </c>
      <c r="R61" s="84">
        <v>28150079</v>
      </c>
      <c r="S61" s="87">
        <v>42044479</v>
      </c>
      <c r="T61" s="38">
        <f t="shared" si="11"/>
        <v>1.4935829842608968</v>
      </c>
      <c r="U61" s="44">
        <f t="shared" si="16"/>
        <v>-13894400</v>
      </c>
      <c r="V61" s="44">
        <v>26609348</v>
      </c>
      <c r="W61" s="44">
        <v>18116148.25</v>
      </c>
      <c r="X61" s="38">
        <f t="shared" si="12"/>
        <v>0.68081894565774403</v>
      </c>
      <c r="Y61" s="44">
        <f t="shared" si="17"/>
        <v>8493199.75</v>
      </c>
      <c r="Z61" s="44">
        <v>27673796</v>
      </c>
      <c r="AA61" s="44">
        <v>18356153.68</v>
      </c>
      <c r="AB61" s="38">
        <v>0.66330450943556862</v>
      </c>
      <c r="AC61" s="44">
        <v>70249042</v>
      </c>
      <c r="AD61" s="38">
        <v>0.26130112464736527</v>
      </c>
      <c r="AE61" s="44">
        <v>9317642.3200000003</v>
      </c>
      <c r="AF61" s="44">
        <v>25864446</v>
      </c>
      <c r="AG61" s="44">
        <v>16402000.040000001</v>
      </c>
      <c r="AH61" s="38">
        <v>0.634152381999599</v>
      </c>
      <c r="AI61" s="44">
        <v>40216702</v>
      </c>
      <c r="AJ61" s="38">
        <v>0.40784050467390393</v>
      </c>
      <c r="AK61" s="45">
        <v>9462445.959999999</v>
      </c>
    </row>
    <row r="62" spans="1:37" ht="15.75" customHeight="1" thickBot="1">
      <c r="A62" s="121" t="s">
        <v>28</v>
      </c>
      <c r="B62" s="122"/>
      <c r="C62" s="112">
        <f>SUM(C49:C61)</f>
        <v>259113699</v>
      </c>
      <c r="D62" s="112">
        <f>SUM(D49:D61)</f>
        <v>139712463</v>
      </c>
      <c r="E62" s="106">
        <f t="shared" si="7"/>
        <v>0.53919365722149637</v>
      </c>
      <c r="F62" s="114">
        <f t="shared" si="13"/>
        <v>-10155613.5</v>
      </c>
      <c r="G62" s="14">
        <f>C62*0.5</f>
        <v>129556849.5</v>
      </c>
      <c r="H62" s="15">
        <f>SUM(H49:H61)</f>
        <v>119401236</v>
      </c>
      <c r="J62" s="30"/>
      <c r="K62" s="43">
        <f>SUM(K49:K61)</f>
        <v>259113699</v>
      </c>
      <c r="L62" s="43">
        <f>SUM(L49:L61)</f>
        <v>139712463</v>
      </c>
      <c r="M62" s="39">
        <f t="shared" si="9"/>
        <v>0.53919365722149637</v>
      </c>
      <c r="N62" s="43">
        <f>SUM(N49:N61)</f>
        <v>264867593</v>
      </c>
      <c r="O62" s="43">
        <f>SUM(O49:O61)</f>
        <v>150111673.03</v>
      </c>
      <c r="P62" s="39">
        <f t="shared" ref="P62" si="19">(O62/N62)</f>
        <v>0.56674231577284728</v>
      </c>
      <c r="Q62" s="43">
        <f>SUM(Q49:Q61)</f>
        <v>114755919.97</v>
      </c>
      <c r="R62" s="43">
        <f>SUM(R49:R61)</f>
        <v>271926181</v>
      </c>
      <c r="S62" s="43">
        <f>SUM(S49:S61)</f>
        <v>207351100</v>
      </c>
      <c r="T62" s="39">
        <f t="shared" si="11"/>
        <v>0.76252716541479326</v>
      </c>
      <c r="U62" s="43">
        <f>SUM(U49:U61)</f>
        <v>64575081</v>
      </c>
      <c r="V62" s="43">
        <f>SUM(V49:V61)</f>
        <v>270182156</v>
      </c>
      <c r="W62" s="43">
        <f>SUM(W49:W61)</f>
        <v>180025833.49000001</v>
      </c>
      <c r="X62" s="39">
        <f t="shared" si="12"/>
        <v>0.66631281708330137</v>
      </c>
      <c r="Y62" s="43">
        <f>SUM(Y49:Y61)</f>
        <v>90156322.50999999</v>
      </c>
      <c r="Z62" s="43">
        <v>269482206</v>
      </c>
      <c r="AA62" s="43">
        <v>166184737.33000001</v>
      </c>
      <c r="AB62" s="39">
        <v>0.6166816718503485</v>
      </c>
      <c r="AC62" s="43">
        <v>345653526</v>
      </c>
      <c r="AD62" s="39">
        <v>0.48078415184458445</v>
      </c>
      <c r="AE62" s="43">
        <v>103297468.66999999</v>
      </c>
      <c r="AF62" s="43">
        <v>255607673</v>
      </c>
      <c r="AG62" s="43">
        <v>156234673.19999999</v>
      </c>
      <c r="AH62" s="39">
        <v>0.61122841644898507</v>
      </c>
      <c r="AI62" s="43">
        <v>322179771</v>
      </c>
      <c r="AJ62" s="39">
        <v>0.48493011437394057</v>
      </c>
      <c r="AK62" s="43">
        <v>99372999.799999997</v>
      </c>
    </row>
    <row r="63" spans="1:37" ht="16.5" thickTop="1">
      <c r="A63" s="103"/>
      <c r="B63" s="103"/>
      <c r="C63" s="103"/>
      <c r="D63" s="103"/>
      <c r="E63" s="103"/>
      <c r="F63" s="103"/>
      <c r="J63" s="79"/>
      <c r="K63" s="79"/>
      <c r="L63" s="79"/>
      <c r="M63" s="79"/>
    </row>
    <row r="64" spans="1:37" ht="15.75">
      <c r="A64" s="103"/>
      <c r="B64" s="103"/>
      <c r="C64" s="103"/>
      <c r="D64" s="103"/>
      <c r="E64" s="103"/>
      <c r="F64" s="103"/>
      <c r="J64" s="79"/>
      <c r="K64" s="79"/>
      <c r="L64" s="79"/>
      <c r="M64" s="79"/>
    </row>
    <row r="65" spans="1:13" ht="15.75">
      <c r="A65" s="103"/>
      <c r="B65" s="103"/>
      <c r="C65" s="103"/>
      <c r="D65" s="103"/>
      <c r="E65" s="103"/>
      <c r="F65" s="103"/>
      <c r="J65" s="79"/>
      <c r="K65" s="79"/>
      <c r="L65" s="79"/>
      <c r="M65" s="79"/>
    </row>
    <row r="66" spans="1:13" ht="15.75">
      <c r="A66" s="103"/>
      <c r="B66" s="103"/>
      <c r="C66" s="103"/>
      <c r="D66" s="103"/>
      <c r="E66" s="103"/>
      <c r="F66" s="103"/>
      <c r="J66" s="79"/>
      <c r="K66" s="79"/>
      <c r="L66" s="79"/>
      <c r="M66" s="79"/>
    </row>
    <row r="67" spans="1:13" ht="15.75">
      <c r="A67" s="103"/>
      <c r="B67" s="103"/>
      <c r="C67" s="103"/>
      <c r="D67" s="103"/>
      <c r="E67" s="103"/>
      <c r="F67" s="103"/>
      <c r="J67" s="79"/>
      <c r="K67" s="79"/>
      <c r="L67" s="79"/>
      <c r="M67" s="79"/>
    </row>
    <row r="68" spans="1:13" ht="15.75">
      <c r="A68" s="103"/>
      <c r="B68" s="103"/>
      <c r="C68" s="103"/>
      <c r="D68" s="103"/>
      <c r="E68" s="103"/>
      <c r="F68" s="103"/>
      <c r="J68" s="79"/>
      <c r="K68" s="79"/>
      <c r="L68" s="79"/>
      <c r="M68" s="79"/>
    </row>
    <row r="69" spans="1:13" ht="15.75">
      <c r="A69" s="103"/>
      <c r="B69" s="103"/>
      <c r="C69" s="103"/>
      <c r="D69" s="103"/>
      <c r="E69" s="103"/>
      <c r="F69" s="103"/>
      <c r="J69" s="79"/>
      <c r="K69" s="79"/>
      <c r="L69" s="79"/>
      <c r="M69" s="79"/>
    </row>
    <row r="70" spans="1:13" ht="15.75">
      <c r="A70" s="103"/>
      <c r="B70" s="103"/>
      <c r="C70" s="103"/>
      <c r="D70" s="103"/>
      <c r="E70" s="103"/>
      <c r="F70" s="103"/>
      <c r="J70" s="79"/>
      <c r="K70" s="79"/>
      <c r="L70" s="79"/>
      <c r="M70" s="79"/>
    </row>
    <row r="71" spans="1:13" ht="15.75">
      <c r="A71" s="103"/>
      <c r="B71" s="103"/>
      <c r="C71" s="103"/>
      <c r="D71" s="103"/>
      <c r="E71" s="103"/>
      <c r="F71" s="103"/>
      <c r="J71" s="79"/>
      <c r="K71" s="79"/>
      <c r="L71" s="79"/>
      <c r="M71" s="79"/>
    </row>
    <row r="72" spans="1:13" ht="15.75">
      <c r="A72" s="103"/>
      <c r="B72" s="103"/>
      <c r="C72" s="103"/>
      <c r="D72" s="103"/>
      <c r="E72" s="103"/>
      <c r="F72" s="103"/>
      <c r="J72" s="79"/>
      <c r="K72" s="79"/>
      <c r="L72" s="79"/>
      <c r="M72" s="79"/>
    </row>
    <row r="73" spans="1:13" ht="15.75">
      <c r="A73" s="103"/>
      <c r="B73" s="103"/>
      <c r="C73" s="103"/>
      <c r="D73" s="103"/>
      <c r="E73" s="103"/>
      <c r="F73" s="103"/>
      <c r="J73" s="79"/>
      <c r="K73" s="79"/>
      <c r="L73" s="79"/>
      <c r="M73" s="79"/>
    </row>
    <row r="74" spans="1:13" ht="15.75">
      <c r="A74" s="103"/>
      <c r="B74" s="103"/>
      <c r="C74" s="103"/>
      <c r="D74" s="103"/>
      <c r="E74" s="103"/>
      <c r="F74" s="103"/>
      <c r="J74" s="79"/>
      <c r="K74" s="79"/>
      <c r="L74" s="79"/>
      <c r="M74" s="79"/>
    </row>
    <row r="75" spans="1:13" ht="15.75">
      <c r="A75" s="103"/>
      <c r="B75" s="103"/>
      <c r="C75" s="103"/>
      <c r="D75" s="103"/>
      <c r="E75" s="103"/>
      <c r="F75" s="103"/>
      <c r="J75" s="79"/>
      <c r="K75" s="79"/>
      <c r="L75" s="79"/>
      <c r="M75" s="79"/>
    </row>
    <row r="76" spans="1:13" ht="15.75">
      <c r="A76" s="103"/>
      <c r="B76" s="103"/>
      <c r="C76" s="103"/>
      <c r="D76" s="103"/>
      <c r="E76" s="103"/>
      <c r="F76" s="103"/>
      <c r="J76" s="80"/>
      <c r="K76" s="80"/>
      <c r="L76" s="80"/>
      <c r="M76" s="80"/>
    </row>
    <row r="77" spans="1:13" ht="15.75">
      <c r="A77" s="103"/>
      <c r="B77" s="103"/>
      <c r="C77" s="103"/>
      <c r="D77" s="103"/>
      <c r="E77" s="103"/>
      <c r="F77" s="103"/>
      <c r="J77" s="81"/>
      <c r="K77" s="81"/>
      <c r="L77" s="81"/>
      <c r="M77" s="81"/>
    </row>
    <row r="78" spans="1:13" ht="15.75">
      <c r="A78" s="103"/>
      <c r="B78" s="103"/>
      <c r="C78" s="103"/>
      <c r="D78" s="103"/>
      <c r="E78" s="103"/>
      <c r="F78" s="103"/>
    </row>
    <row r="79" spans="1:13" ht="15.75">
      <c r="A79" s="103"/>
      <c r="B79" s="103"/>
      <c r="C79" s="103"/>
      <c r="D79" s="103"/>
      <c r="E79" s="103"/>
      <c r="F79" s="103"/>
    </row>
    <row r="80" spans="1:13" ht="15.75">
      <c r="A80" s="103"/>
      <c r="B80" s="103"/>
      <c r="C80" s="103"/>
      <c r="D80" s="103"/>
      <c r="E80" s="103"/>
      <c r="F80" s="103"/>
    </row>
    <row r="81" spans="1:6" ht="15.75">
      <c r="A81" s="103"/>
      <c r="B81" s="103"/>
      <c r="C81" s="103"/>
      <c r="D81" s="103"/>
      <c r="E81" s="103"/>
      <c r="F81" s="103"/>
    </row>
    <row r="82" spans="1:6" ht="15.75">
      <c r="A82" s="103"/>
      <c r="B82" s="103"/>
      <c r="C82" s="103"/>
      <c r="D82" s="103"/>
      <c r="E82" s="103"/>
      <c r="F82" s="103"/>
    </row>
    <row r="83" spans="1:6" ht="15.75">
      <c r="A83" s="103"/>
      <c r="B83" s="103"/>
      <c r="C83" s="103"/>
      <c r="D83" s="103"/>
      <c r="E83" s="103"/>
      <c r="F83" s="103"/>
    </row>
    <row r="84" spans="1:6" ht="15.75">
      <c r="A84" s="103"/>
      <c r="B84" s="103"/>
      <c r="C84" s="103"/>
      <c r="D84" s="103"/>
      <c r="E84" s="103"/>
      <c r="F84" s="103"/>
    </row>
    <row r="85" spans="1:6" ht="15.75">
      <c r="A85" s="103"/>
      <c r="B85" s="103"/>
      <c r="C85" s="103"/>
      <c r="D85" s="103"/>
      <c r="E85" s="103"/>
      <c r="F85" s="103"/>
    </row>
    <row r="86" spans="1:6" ht="15.75">
      <c r="A86" s="103"/>
      <c r="B86" s="103"/>
      <c r="C86" s="103"/>
      <c r="D86" s="103"/>
      <c r="E86" s="103"/>
      <c r="F86" s="103"/>
    </row>
    <row r="87" spans="1:6" ht="15.75">
      <c r="A87" s="103"/>
      <c r="B87" s="103"/>
      <c r="C87" s="103"/>
      <c r="D87" s="103"/>
      <c r="E87" s="103"/>
      <c r="F87" s="103"/>
    </row>
    <row r="88" spans="1:6" ht="15.75">
      <c r="A88" s="103"/>
      <c r="B88" s="103"/>
      <c r="C88" s="103"/>
      <c r="D88" s="103"/>
      <c r="E88" s="103"/>
      <c r="F88" s="103"/>
    </row>
    <row r="89" spans="1:6" ht="15.75">
      <c r="A89" s="103"/>
      <c r="B89" s="103"/>
      <c r="C89" s="103"/>
      <c r="D89" s="103"/>
      <c r="E89" s="103"/>
      <c r="F89" s="103"/>
    </row>
    <row r="90" spans="1:6" ht="15.75">
      <c r="A90" s="103"/>
      <c r="B90" s="103"/>
      <c r="C90" s="103"/>
      <c r="D90" s="103"/>
      <c r="E90" s="103"/>
      <c r="F90" s="103"/>
    </row>
    <row r="91" spans="1:6" ht="15.75">
      <c r="A91" s="103"/>
      <c r="B91" s="103"/>
      <c r="C91" s="103"/>
      <c r="D91" s="103"/>
      <c r="E91" s="103"/>
      <c r="F91" s="103"/>
    </row>
    <row r="92" spans="1:6" ht="15.75">
      <c r="A92" s="103"/>
      <c r="B92" s="103"/>
      <c r="C92" s="103"/>
      <c r="D92" s="103"/>
      <c r="E92" s="103"/>
      <c r="F92" s="103"/>
    </row>
    <row r="93" spans="1:6" ht="15.75">
      <c r="A93" s="103"/>
      <c r="B93" s="103"/>
      <c r="C93" s="103"/>
      <c r="D93" s="103"/>
      <c r="E93" s="103"/>
      <c r="F93" s="103"/>
    </row>
    <row r="94" spans="1:6" ht="15.75">
      <c r="A94" s="103"/>
      <c r="B94" s="103"/>
      <c r="C94" s="103"/>
      <c r="D94" s="103"/>
      <c r="E94" s="103"/>
      <c r="F94" s="103"/>
    </row>
    <row r="95" spans="1:6" ht="15.75">
      <c r="A95" s="103"/>
      <c r="B95" s="103"/>
      <c r="C95" s="103"/>
      <c r="D95" s="103"/>
      <c r="E95" s="103"/>
      <c r="F95" s="103"/>
    </row>
    <row r="96" spans="1:6" ht="15.75">
      <c r="A96" s="103"/>
      <c r="B96" s="103"/>
      <c r="C96" s="103"/>
      <c r="D96" s="103"/>
      <c r="E96" s="103"/>
      <c r="F96" s="103"/>
    </row>
    <row r="97" spans="1:6" ht="15.75">
      <c r="A97" s="103"/>
      <c r="B97" s="103"/>
      <c r="C97" s="103"/>
      <c r="D97" s="103"/>
      <c r="E97" s="103"/>
      <c r="F97" s="103"/>
    </row>
    <row r="98" spans="1:6" ht="15.75">
      <c r="A98" s="103"/>
      <c r="B98" s="103"/>
      <c r="C98" s="103"/>
      <c r="D98" s="103"/>
      <c r="E98" s="103"/>
      <c r="F98" s="103"/>
    </row>
    <row r="99" spans="1:6" ht="15.75">
      <c r="A99" s="103"/>
      <c r="B99" s="103"/>
      <c r="C99" s="103"/>
      <c r="D99" s="103"/>
      <c r="E99" s="103"/>
      <c r="F99" s="103"/>
    </row>
    <row r="100" spans="1:6" ht="15.75">
      <c r="A100" s="103"/>
      <c r="B100" s="103"/>
      <c r="C100" s="103"/>
      <c r="D100" s="103"/>
      <c r="E100" s="103"/>
      <c r="F100" s="103"/>
    </row>
    <row r="101" spans="1:6" ht="15.75">
      <c r="A101" s="103"/>
      <c r="B101" s="103"/>
      <c r="C101" s="103"/>
      <c r="D101" s="103"/>
      <c r="E101" s="103"/>
      <c r="F101" s="103"/>
    </row>
    <row r="102" spans="1:6" ht="15.75">
      <c r="A102" s="103"/>
      <c r="B102" s="103"/>
      <c r="C102" s="103"/>
      <c r="D102" s="103"/>
      <c r="E102" s="103"/>
      <c r="F102" s="103"/>
    </row>
    <row r="103" spans="1:6" ht="15.75">
      <c r="A103" s="103"/>
      <c r="B103" s="103"/>
      <c r="C103" s="103"/>
      <c r="D103" s="103"/>
      <c r="E103" s="103"/>
      <c r="F103" s="103"/>
    </row>
    <row r="104" spans="1:6" ht="15.75">
      <c r="A104" s="103"/>
      <c r="B104" s="103"/>
      <c r="C104" s="103"/>
      <c r="D104" s="103"/>
      <c r="E104" s="103"/>
      <c r="F104" s="103"/>
    </row>
    <row r="105" spans="1:6" ht="15.75">
      <c r="A105" s="103"/>
      <c r="B105" s="103"/>
      <c r="C105" s="103"/>
      <c r="D105" s="103"/>
      <c r="E105" s="103"/>
      <c r="F105" s="103"/>
    </row>
    <row r="106" spans="1:6" ht="15.75">
      <c r="A106" s="103"/>
      <c r="B106" s="103"/>
      <c r="C106" s="103"/>
      <c r="D106" s="103"/>
      <c r="E106" s="103"/>
      <c r="F106" s="103"/>
    </row>
    <row r="107" spans="1:6" ht="15.75">
      <c r="A107" s="103"/>
      <c r="B107" s="103"/>
      <c r="C107" s="103"/>
      <c r="D107" s="103"/>
      <c r="E107" s="103"/>
      <c r="F107" s="103"/>
    </row>
    <row r="108" spans="1:6" ht="15.75">
      <c r="A108" s="103"/>
      <c r="B108" s="103"/>
      <c r="C108" s="103"/>
      <c r="D108" s="103"/>
      <c r="E108" s="103"/>
      <c r="F108" s="103"/>
    </row>
    <row r="109" spans="1:6" ht="15.75">
      <c r="A109" s="103"/>
      <c r="B109" s="103"/>
      <c r="C109" s="103"/>
      <c r="D109" s="103"/>
      <c r="E109" s="103"/>
      <c r="F109" s="103"/>
    </row>
    <row r="110" spans="1:6" ht="15.75">
      <c r="A110" s="103"/>
      <c r="B110" s="103"/>
      <c r="C110" s="103"/>
      <c r="D110" s="103"/>
      <c r="E110" s="103"/>
      <c r="F110" s="103"/>
    </row>
    <row r="111" spans="1:6" ht="15.75">
      <c r="A111" s="103"/>
      <c r="B111" s="103"/>
      <c r="C111" s="103"/>
      <c r="D111" s="103"/>
      <c r="E111" s="103"/>
      <c r="F111" s="103"/>
    </row>
    <row r="112" spans="1:6" ht="15.75">
      <c r="A112" s="103"/>
      <c r="B112" s="103"/>
      <c r="C112" s="103"/>
      <c r="D112" s="103"/>
      <c r="E112" s="103"/>
      <c r="F112" s="103"/>
    </row>
    <row r="113" spans="1:6" ht="5.25" customHeight="1">
      <c r="A113" s="103"/>
      <c r="B113" s="103"/>
      <c r="C113" s="103"/>
      <c r="D113" s="103"/>
      <c r="E113" s="103"/>
      <c r="F113" s="103"/>
    </row>
    <row r="114" spans="1:6" ht="15.75">
      <c r="A114" s="103"/>
      <c r="B114" s="103"/>
      <c r="C114" s="103"/>
      <c r="D114" s="103"/>
      <c r="E114" s="103"/>
      <c r="F114" s="103"/>
    </row>
    <row r="115" spans="1:6" ht="15.75">
      <c r="A115" s="103"/>
      <c r="B115" s="103"/>
      <c r="C115" s="103"/>
      <c r="D115" s="103"/>
      <c r="E115" s="103"/>
      <c r="F115" s="103"/>
    </row>
    <row r="116" spans="1:6" ht="15.75">
      <c r="A116" s="103"/>
      <c r="B116" s="103"/>
      <c r="C116" s="103"/>
      <c r="D116" s="103"/>
      <c r="E116" s="103"/>
      <c r="F116" s="103"/>
    </row>
    <row r="117" spans="1:6" ht="15.75">
      <c r="A117" s="103"/>
      <c r="B117" s="103"/>
      <c r="C117" s="103"/>
      <c r="D117" s="103"/>
      <c r="E117" s="103"/>
      <c r="F117" s="103"/>
    </row>
    <row r="118" spans="1:6" ht="15.75">
      <c r="A118" s="103"/>
      <c r="B118" s="103"/>
      <c r="C118" s="103"/>
      <c r="D118" s="103"/>
      <c r="E118" s="103"/>
      <c r="F118" s="103"/>
    </row>
    <row r="119" spans="1:6" ht="15.75">
      <c r="A119" s="103"/>
      <c r="B119" s="103"/>
      <c r="C119" s="103"/>
      <c r="D119" s="103"/>
      <c r="E119" s="103"/>
      <c r="F119" s="103"/>
    </row>
    <row r="120" spans="1:6" ht="15.75">
      <c r="A120" s="103"/>
      <c r="B120" s="103"/>
      <c r="C120" s="103"/>
      <c r="D120" s="103"/>
      <c r="E120" s="103"/>
      <c r="F120" s="103"/>
    </row>
    <row r="121" spans="1:6" ht="15.75">
      <c r="A121" s="103"/>
      <c r="B121" s="103"/>
      <c r="C121" s="103"/>
      <c r="D121" s="103"/>
      <c r="E121" s="103"/>
      <c r="F121" s="103"/>
    </row>
    <row r="122" spans="1:6" ht="15.75">
      <c r="A122" s="103"/>
      <c r="B122" s="103"/>
      <c r="C122" s="103"/>
      <c r="D122" s="103"/>
      <c r="E122" s="103"/>
      <c r="F122" s="103"/>
    </row>
    <row r="123" spans="1:6" ht="15.75">
      <c r="A123" s="103"/>
      <c r="B123" s="103"/>
      <c r="C123" s="103"/>
      <c r="D123" s="103"/>
      <c r="E123" s="103"/>
      <c r="F123" s="103"/>
    </row>
    <row r="124" spans="1:6" ht="15.75">
      <c r="A124" s="103"/>
      <c r="B124" s="103"/>
      <c r="C124" s="103"/>
      <c r="D124" s="103"/>
      <c r="E124" s="103"/>
      <c r="F124" s="103"/>
    </row>
    <row r="125" spans="1:6" ht="15.75">
      <c r="A125" s="103"/>
      <c r="B125" s="103"/>
      <c r="C125" s="103"/>
      <c r="D125" s="103"/>
      <c r="E125" s="103"/>
      <c r="F125" s="103"/>
    </row>
    <row r="126" spans="1:6" ht="15.75">
      <c r="A126" s="103"/>
      <c r="B126" s="103"/>
      <c r="C126" s="103"/>
      <c r="D126" s="103"/>
      <c r="E126" s="103"/>
      <c r="F126" s="103"/>
    </row>
    <row r="127" spans="1:6" ht="15.75">
      <c r="A127" s="103"/>
      <c r="B127" s="103"/>
      <c r="C127" s="103"/>
      <c r="D127" s="103"/>
      <c r="E127" s="103"/>
      <c r="F127" s="103"/>
    </row>
    <row r="128" spans="1:6" ht="15.75">
      <c r="A128" s="103"/>
      <c r="B128" s="103"/>
      <c r="C128" s="103"/>
      <c r="D128" s="103"/>
      <c r="E128" s="103"/>
      <c r="F128" s="103"/>
    </row>
    <row r="129" spans="1:6" ht="15.75">
      <c r="A129" s="103"/>
      <c r="B129" s="103"/>
      <c r="C129" s="103"/>
      <c r="D129" s="103"/>
      <c r="E129" s="103"/>
      <c r="F129" s="103"/>
    </row>
    <row r="130" spans="1:6" ht="15.75">
      <c r="A130" s="103"/>
      <c r="B130" s="103"/>
      <c r="C130" s="103"/>
      <c r="D130" s="103"/>
      <c r="E130" s="103"/>
      <c r="F130" s="103"/>
    </row>
    <row r="131" spans="1:6" ht="15.75">
      <c r="A131" s="103"/>
      <c r="B131" s="103"/>
      <c r="C131" s="103"/>
      <c r="D131" s="103"/>
      <c r="E131" s="103"/>
      <c r="F131" s="103"/>
    </row>
    <row r="132" spans="1:6" ht="15.75">
      <c r="A132" s="103"/>
      <c r="B132" s="103"/>
      <c r="C132" s="103"/>
      <c r="D132" s="103"/>
      <c r="E132" s="103"/>
      <c r="F132" s="103"/>
    </row>
    <row r="133" spans="1:6" ht="15.75">
      <c r="A133" s="103"/>
      <c r="B133" s="103"/>
      <c r="C133" s="103"/>
      <c r="D133" s="103"/>
      <c r="E133" s="103"/>
      <c r="F133" s="103"/>
    </row>
    <row r="134" spans="1:6" ht="15.75">
      <c r="A134" s="103"/>
      <c r="B134" s="103"/>
      <c r="C134" s="103"/>
      <c r="D134" s="103"/>
      <c r="E134" s="103"/>
      <c r="F134" s="103"/>
    </row>
    <row r="135" spans="1:6" ht="15.75">
      <c r="A135" s="103"/>
      <c r="B135" s="103"/>
      <c r="C135" s="103"/>
      <c r="D135" s="103"/>
      <c r="E135" s="103"/>
      <c r="F135" s="103"/>
    </row>
    <row r="136" spans="1:6" ht="15.75">
      <c r="A136" s="103"/>
      <c r="B136" s="103"/>
      <c r="C136" s="103"/>
      <c r="D136" s="103"/>
      <c r="E136" s="103"/>
      <c r="F136" s="103"/>
    </row>
    <row r="137" spans="1:6" ht="15.75">
      <c r="A137" s="103"/>
      <c r="B137" s="103"/>
      <c r="C137" s="103"/>
      <c r="D137" s="103"/>
      <c r="E137" s="103"/>
      <c r="F137" s="103"/>
    </row>
    <row r="138" spans="1:6" ht="15.75">
      <c r="A138" s="103"/>
      <c r="B138" s="103"/>
      <c r="C138" s="103"/>
      <c r="D138" s="103"/>
      <c r="E138" s="103"/>
      <c r="F138" s="103"/>
    </row>
    <row r="139" spans="1:6" ht="15.75">
      <c r="A139" s="103"/>
      <c r="B139" s="103"/>
      <c r="C139" s="103"/>
      <c r="D139" s="103"/>
      <c r="E139" s="103"/>
      <c r="F139" s="103"/>
    </row>
    <row r="140" spans="1:6" ht="15.75">
      <c r="A140" s="103"/>
      <c r="B140" s="103"/>
      <c r="C140" s="103"/>
      <c r="D140" s="103"/>
      <c r="E140" s="103"/>
      <c r="F140" s="103"/>
    </row>
    <row r="141" spans="1:6" ht="15.75">
      <c r="A141" s="103"/>
      <c r="B141" s="103"/>
      <c r="C141" s="103"/>
      <c r="D141" s="103"/>
      <c r="E141" s="103"/>
      <c r="F141" s="103"/>
    </row>
    <row r="142" spans="1:6" ht="15.75">
      <c r="A142" s="103"/>
      <c r="B142" s="103"/>
      <c r="C142" s="103"/>
      <c r="D142" s="103"/>
      <c r="E142" s="103"/>
      <c r="F142" s="103"/>
    </row>
    <row r="143" spans="1:6" ht="15.75">
      <c r="A143" s="103"/>
      <c r="B143" s="103"/>
      <c r="C143" s="103"/>
      <c r="D143" s="103"/>
      <c r="E143" s="103"/>
      <c r="F143" s="103"/>
    </row>
    <row r="144" spans="1:6" ht="15.75">
      <c r="A144" s="103"/>
      <c r="B144" s="103"/>
      <c r="C144" s="103"/>
      <c r="D144" s="103"/>
      <c r="E144" s="103"/>
      <c r="F144" s="103"/>
    </row>
    <row r="145" spans="1:6" ht="15.75">
      <c r="A145" s="103"/>
      <c r="B145" s="103"/>
      <c r="C145" s="103"/>
      <c r="D145" s="103"/>
      <c r="E145" s="103"/>
      <c r="F145" s="103"/>
    </row>
    <row r="146" spans="1:6" ht="15.75">
      <c r="A146" s="103"/>
      <c r="B146" s="103"/>
      <c r="C146" s="103"/>
      <c r="D146" s="103"/>
      <c r="E146" s="103"/>
      <c r="F146" s="103"/>
    </row>
    <row r="147" spans="1:6" ht="15.75">
      <c r="A147" s="103"/>
      <c r="B147" s="103"/>
      <c r="C147" s="103"/>
      <c r="D147" s="103"/>
      <c r="E147" s="103"/>
      <c r="F147" s="103"/>
    </row>
    <row r="148" spans="1:6" ht="15.75">
      <c r="A148" s="103"/>
      <c r="B148" s="103"/>
      <c r="C148" s="103"/>
      <c r="D148" s="103"/>
      <c r="E148" s="103"/>
      <c r="F148" s="103"/>
    </row>
    <row r="149" spans="1:6" ht="15.75">
      <c r="A149" s="103"/>
      <c r="B149" s="103"/>
      <c r="C149" s="103"/>
      <c r="D149" s="103"/>
      <c r="E149" s="103"/>
      <c r="F149" s="103"/>
    </row>
    <row r="150" spans="1:6" ht="15.75">
      <c r="A150" s="103"/>
      <c r="B150" s="103"/>
      <c r="C150" s="103"/>
      <c r="D150" s="103"/>
      <c r="E150" s="103"/>
      <c r="F150" s="103"/>
    </row>
    <row r="151" spans="1:6" ht="15.75">
      <c r="A151" s="103"/>
      <c r="B151" s="103"/>
      <c r="C151" s="103"/>
      <c r="D151" s="103"/>
      <c r="E151" s="103"/>
      <c r="F151" s="103"/>
    </row>
    <row r="152" spans="1:6" ht="15.75">
      <c r="A152" s="103"/>
      <c r="B152" s="103"/>
      <c r="C152" s="103"/>
      <c r="D152" s="103"/>
      <c r="E152" s="103"/>
      <c r="F152" s="103"/>
    </row>
    <row r="153" spans="1:6" ht="15.75">
      <c r="A153" s="103"/>
      <c r="B153" s="103"/>
      <c r="C153" s="103"/>
      <c r="D153" s="103"/>
      <c r="E153" s="103"/>
      <c r="F153" s="103"/>
    </row>
    <row r="154" spans="1:6" ht="15.75">
      <c r="A154" s="103"/>
      <c r="B154" s="103"/>
      <c r="C154" s="103"/>
      <c r="D154" s="103"/>
      <c r="E154" s="103"/>
      <c r="F154" s="103"/>
    </row>
    <row r="155" spans="1:6" ht="15.75">
      <c r="A155" s="103"/>
      <c r="B155" s="103"/>
      <c r="C155" s="103"/>
      <c r="D155" s="103"/>
      <c r="E155" s="103"/>
      <c r="F155" s="103"/>
    </row>
    <row r="156" spans="1:6" ht="15.75">
      <c r="A156" s="103"/>
      <c r="B156" s="103"/>
      <c r="C156" s="103"/>
      <c r="D156" s="103"/>
      <c r="E156" s="103"/>
      <c r="F156" s="103"/>
    </row>
    <row r="157" spans="1:6" ht="15.75">
      <c r="A157" s="103"/>
      <c r="B157" s="103"/>
      <c r="C157" s="103"/>
      <c r="D157" s="103"/>
      <c r="E157" s="103"/>
      <c r="F157" s="103"/>
    </row>
    <row r="158" spans="1:6" ht="15.75">
      <c r="A158" s="103"/>
      <c r="B158" s="103"/>
      <c r="C158" s="103"/>
      <c r="D158" s="103"/>
      <c r="E158" s="103"/>
      <c r="F158" s="103"/>
    </row>
    <row r="159" spans="1:6" ht="15.75">
      <c r="A159" s="103"/>
      <c r="B159" s="103"/>
      <c r="C159" s="103"/>
      <c r="D159" s="103"/>
      <c r="E159" s="103"/>
      <c r="F159" s="103"/>
    </row>
    <row r="160" spans="1:6" ht="15.75">
      <c r="A160" s="103"/>
      <c r="B160" s="103"/>
      <c r="C160" s="103"/>
      <c r="D160" s="103"/>
      <c r="E160" s="103"/>
      <c r="F160" s="103"/>
    </row>
    <row r="161" spans="1:6" ht="15.75">
      <c r="A161" s="103"/>
      <c r="B161" s="103"/>
      <c r="C161" s="103"/>
      <c r="D161" s="103"/>
      <c r="E161" s="103"/>
      <c r="F161" s="103"/>
    </row>
    <row r="162" spans="1:6" ht="15.75">
      <c r="A162" s="103"/>
      <c r="B162" s="103"/>
      <c r="C162" s="103"/>
      <c r="D162" s="103"/>
      <c r="E162" s="103"/>
      <c r="F162" s="103"/>
    </row>
    <row r="163" spans="1:6" ht="15.75">
      <c r="A163" s="103"/>
      <c r="B163" s="103"/>
      <c r="C163" s="103"/>
      <c r="D163" s="103"/>
      <c r="E163" s="103"/>
      <c r="F163" s="103"/>
    </row>
    <row r="164" spans="1:6" ht="15.75">
      <c r="A164" s="103"/>
      <c r="B164" s="103"/>
      <c r="C164" s="103"/>
      <c r="D164" s="103"/>
      <c r="E164" s="103"/>
      <c r="F164" s="103"/>
    </row>
    <row r="165" spans="1:6" ht="15.75">
      <c r="A165" s="103"/>
      <c r="B165" s="103"/>
      <c r="C165" s="103"/>
      <c r="D165" s="103"/>
      <c r="E165" s="103"/>
      <c r="F165" s="103"/>
    </row>
    <row r="166" spans="1:6" ht="15.75">
      <c r="A166" s="103"/>
      <c r="B166" s="103"/>
      <c r="C166" s="103"/>
      <c r="D166" s="103"/>
      <c r="E166" s="103"/>
      <c r="F166" s="103"/>
    </row>
    <row r="167" spans="1:6" ht="15.75">
      <c r="A167" s="103"/>
      <c r="B167" s="103"/>
      <c r="C167" s="103"/>
      <c r="D167" s="103"/>
      <c r="E167" s="103"/>
      <c r="F167" s="103"/>
    </row>
    <row r="168" spans="1:6" ht="15.75">
      <c r="A168" s="103"/>
      <c r="B168" s="103"/>
      <c r="C168" s="103"/>
      <c r="D168" s="103"/>
      <c r="E168" s="103"/>
      <c r="F168" s="103"/>
    </row>
    <row r="169" spans="1:6" ht="15.75">
      <c r="A169" s="103"/>
      <c r="B169" s="103"/>
      <c r="C169" s="103"/>
      <c r="D169" s="103"/>
      <c r="E169" s="103"/>
      <c r="F169" s="103"/>
    </row>
    <row r="170" spans="1:6" ht="15.75">
      <c r="A170" s="103"/>
      <c r="B170" s="103"/>
      <c r="C170" s="103"/>
      <c r="D170" s="103"/>
      <c r="E170" s="103"/>
      <c r="F170" s="103"/>
    </row>
    <row r="171" spans="1:6" ht="15.75">
      <c r="A171" s="103"/>
      <c r="B171" s="103"/>
      <c r="C171" s="103"/>
      <c r="D171" s="103"/>
      <c r="E171" s="103"/>
      <c r="F171" s="103"/>
    </row>
    <row r="172" spans="1:6" ht="15.75">
      <c r="A172" s="103"/>
      <c r="B172" s="103"/>
      <c r="C172" s="103"/>
      <c r="D172" s="103"/>
      <c r="E172" s="103"/>
      <c r="F172" s="103"/>
    </row>
    <row r="173" spans="1:6" ht="15.75">
      <c r="A173" s="103"/>
      <c r="B173" s="103"/>
      <c r="C173" s="103"/>
      <c r="D173" s="103"/>
      <c r="E173" s="103"/>
      <c r="F173" s="103"/>
    </row>
    <row r="174" spans="1:6" ht="15.75">
      <c r="A174" s="103"/>
      <c r="B174" s="103"/>
      <c r="C174" s="103"/>
      <c r="D174" s="103"/>
      <c r="E174" s="103"/>
      <c r="F174" s="103"/>
    </row>
    <row r="175" spans="1:6" ht="15.75">
      <c r="A175" s="103"/>
      <c r="B175" s="103"/>
      <c r="C175" s="103"/>
      <c r="D175" s="103"/>
      <c r="E175" s="103"/>
      <c r="F175" s="103"/>
    </row>
    <row r="176" spans="1:6" ht="15.75">
      <c r="A176" s="103"/>
      <c r="B176" s="103"/>
      <c r="C176" s="103"/>
      <c r="D176" s="103"/>
      <c r="E176" s="103"/>
      <c r="F176" s="103"/>
    </row>
    <row r="177" spans="1:6" ht="15.75">
      <c r="A177" s="103"/>
      <c r="B177" s="103"/>
      <c r="C177" s="103"/>
      <c r="D177" s="103"/>
      <c r="E177" s="103"/>
      <c r="F177" s="103"/>
    </row>
    <row r="178" spans="1:6" ht="15.75">
      <c r="A178" s="103"/>
      <c r="B178" s="103"/>
      <c r="C178" s="103"/>
      <c r="D178" s="103"/>
      <c r="E178" s="103"/>
      <c r="F178" s="103"/>
    </row>
    <row r="179" spans="1:6" ht="15.75">
      <c r="A179" s="103"/>
      <c r="B179" s="103"/>
      <c r="C179" s="103"/>
      <c r="D179" s="103"/>
      <c r="E179" s="103"/>
      <c r="F179" s="103"/>
    </row>
    <row r="180" spans="1:6" ht="15.75">
      <c r="A180" s="103"/>
      <c r="B180" s="103"/>
      <c r="C180" s="103"/>
      <c r="D180" s="103"/>
      <c r="E180" s="103"/>
      <c r="F180" s="103"/>
    </row>
    <row r="181" spans="1:6" ht="15.75">
      <c r="A181" s="103"/>
      <c r="B181" s="103"/>
      <c r="C181" s="103"/>
      <c r="D181" s="103"/>
      <c r="E181" s="103"/>
      <c r="F181" s="103"/>
    </row>
    <row r="182" spans="1:6" ht="15.75">
      <c r="A182" s="103"/>
      <c r="B182" s="103"/>
      <c r="C182" s="103"/>
      <c r="D182" s="103"/>
      <c r="E182" s="103"/>
      <c r="F182" s="103"/>
    </row>
    <row r="183" spans="1:6" ht="15.75">
      <c r="A183" s="103"/>
      <c r="B183" s="103"/>
      <c r="C183" s="103"/>
      <c r="D183" s="103"/>
      <c r="E183" s="103"/>
      <c r="F183" s="103"/>
    </row>
    <row r="184" spans="1:6" ht="15.75">
      <c r="A184" s="103"/>
      <c r="B184" s="103"/>
      <c r="C184" s="103"/>
      <c r="D184" s="103"/>
      <c r="E184" s="103"/>
      <c r="F184" s="103"/>
    </row>
    <row r="185" spans="1:6" ht="15.75">
      <c r="A185" s="103"/>
      <c r="B185" s="103"/>
      <c r="C185" s="103"/>
      <c r="D185" s="103"/>
      <c r="E185" s="103"/>
      <c r="F185" s="103"/>
    </row>
    <row r="186" spans="1:6" ht="15.75">
      <c r="A186" s="103"/>
      <c r="B186" s="103"/>
      <c r="C186" s="103"/>
      <c r="D186" s="103"/>
      <c r="E186" s="103"/>
      <c r="F186" s="103"/>
    </row>
    <row r="187" spans="1:6" ht="15.75">
      <c r="A187" s="103"/>
      <c r="B187" s="103"/>
      <c r="C187" s="103"/>
      <c r="D187" s="103"/>
      <c r="E187" s="103"/>
      <c r="F187" s="103"/>
    </row>
    <row r="188" spans="1:6" ht="15.75">
      <c r="A188" s="103"/>
      <c r="B188" s="103"/>
      <c r="C188" s="103"/>
      <c r="D188" s="103"/>
      <c r="E188" s="103"/>
      <c r="F188" s="103"/>
    </row>
    <row r="189" spans="1:6" ht="15.75">
      <c r="A189" s="103"/>
      <c r="B189" s="103"/>
      <c r="C189" s="103"/>
      <c r="D189" s="103"/>
      <c r="E189" s="103"/>
      <c r="F189" s="103"/>
    </row>
    <row r="190" spans="1:6" ht="15.75">
      <c r="A190" s="103"/>
      <c r="B190" s="103"/>
      <c r="C190" s="103"/>
      <c r="D190" s="103"/>
      <c r="E190" s="103"/>
      <c r="F190" s="103"/>
    </row>
    <row r="191" spans="1:6" ht="15.75">
      <c r="A191" s="103"/>
      <c r="B191" s="103"/>
      <c r="C191" s="103"/>
      <c r="D191" s="103"/>
      <c r="E191" s="103"/>
      <c r="F191" s="103"/>
    </row>
    <row r="192" spans="1:6" ht="15.75">
      <c r="A192" s="103"/>
      <c r="B192" s="103"/>
      <c r="C192" s="103"/>
      <c r="D192" s="103"/>
      <c r="E192" s="103"/>
      <c r="F192" s="103"/>
    </row>
    <row r="193" spans="1:6" ht="15.75">
      <c r="A193" s="103"/>
      <c r="B193" s="103"/>
      <c r="C193" s="103"/>
      <c r="D193" s="103"/>
      <c r="E193" s="103"/>
      <c r="F193" s="103"/>
    </row>
    <row r="194" spans="1:6" ht="15.75">
      <c r="A194" s="103"/>
      <c r="B194" s="103"/>
      <c r="C194" s="103"/>
      <c r="D194" s="103"/>
      <c r="E194" s="103"/>
      <c r="F194" s="103"/>
    </row>
    <row r="195" spans="1:6" ht="15.75">
      <c r="A195" s="103"/>
      <c r="B195" s="103"/>
      <c r="C195" s="103"/>
      <c r="D195" s="103"/>
      <c r="E195" s="103"/>
      <c r="F195" s="103"/>
    </row>
    <row r="196" spans="1:6" ht="15.75">
      <c r="A196" s="103"/>
      <c r="B196" s="103"/>
      <c r="C196" s="103"/>
      <c r="D196" s="103"/>
      <c r="E196" s="103"/>
      <c r="F196" s="103"/>
    </row>
    <row r="197" spans="1:6" ht="15.75">
      <c r="A197" s="103"/>
      <c r="B197" s="103"/>
      <c r="C197" s="103"/>
      <c r="D197" s="103"/>
      <c r="E197" s="103"/>
      <c r="F197" s="103"/>
    </row>
    <row r="198" spans="1:6" ht="15.75">
      <c r="A198" s="103"/>
      <c r="B198" s="103"/>
      <c r="C198" s="103"/>
      <c r="D198" s="103"/>
      <c r="E198" s="103"/>
      <c r="F198" s="103"/>
    </row>
    <row r="199" spans="1:6" ht="15.75">
      <c r="A199" s="103"/>
      <c r="B199" s="103"/>
      <c r="C199" s="103"/>
      <c r="D199" s="103"/>
      <c r="E199" s="103"/>
      <c r="F199" s="103"/>
    </row>
    <row r="200" spans="1:6" ht="15.75">
      <c r="A200" s="103"/>
      <c r="B200" s="103"/>
      <c r="C200" s="103"/>
      <c r="D200" s="103"/>
      <c r="E200" s="103"/>
      <c r="F200" s="103"/>
    </row>
    <row r="201" spans="1:6" ht="15.75">
      <c r="A201" s="103"/>
      <c r="B201" s="103"/>
      <c r="C201" s="103"/>
      <c r="D201" s="103"/>
      <c r="E201" s="103"/>
      <c r="F201" s="103"/>
    </row>
    <row r="202" spans="1:6" ht="15.75">
      <c r="A202" s="103"/>
      <c r="B202" s="103"/>
      <c r="C202" s="103"/>
      <c r="D202" s="103"/>
      <c r="E202" s="103"/>
      <c r="F202" s="103"/>
    </row>
    <row r="203" spans="1:6" ht="15.75">
      <c r="A203" s="103"/>
      <c r="B203" s="103"/>
      <c r="C203" s="103"/>
      <c r="D203" s="103"/>
      <c r="E203" s="103"/>
      <c r="F203" s="103"/>
    </row>
    <row r="204" spans="1:6" ht="15.75">
      <c r="A204" s="103"/>
      <c r="B204" s="103"/>
      <c r="C204" s="103"/>
      <c r="D204" s="103"/>
      <c r="E204" s="103"/>
      <c r="F204" s="103"/>
    </row>
    <row r="205" spans="1:6" ht="15.75">
      <c r="A205" s="103"/>
      <c r="B205" s="103"/>
      <c r="C205" s="103"/>
      <c r="D205" s="103"/>
      <c r="E205" s="103"/>
      <c r="F205" s="103"/>
    </row>
    <row r="206" spans="1:6" ht="15.75">
      <c r="A206" s="103"/>
      <c r="B206" s="103"/>
      <c r="C206" s="103"/>
      <c r="D206" s="103"/>
      <c r="E206" s="103"/>
      <c r="F206" s="103"/>
    </row>
    <row r="207" spans="1:6" ht="15.75">
      <c r="A207" s="103"/>
      <c r="B207" s="103"/>
      <c r="C207" s="103"/>
      <c r="D207" s="103"/>
      <c r="E207" s="103"/>
      <c r="F207" s="103"/>
    </row>
    <row r="208" spans="1:6" ht="15.75">
      <c r="A208" s="103"/>
      <c r="B208" s="103"/>
      <c r="C208" s="103"/>
      <c r="D208" s="103"/>
      <c r="E208" s="103"/>
      <c r="F208" s="103"/>
    </row>
    <row r="209" spans="1:6" ht="15.75">
      <c r="A209" s="103"/>
      <c r="B209" s="103"/>
      <c r="C209" s="103"/>
      <c r="D209" s="103"/>
      <c r="E209" s="103"/>
      <c r="F209" s="103"/>
    </row>
    <row r="210" spans="1:6" ht="15.75">
      <c r="A210" s="103"/>
      <c r="B210" s="103"/>
      <c r="C210" s="103"/>
      <c r="D210" s="103"/>
      <c r="E210" s="103"/>
      <c r="F210" s="103"/>
    </row>
    <row r="211" spans="1:6" ht="15.75">
      <c r="A211" s="103"/>
      <c r="B211" s="103"/>
      <c r="C211" s="103"/>
      <c r="D211" s="103"/>
      <c r="E211" s="103"/>
      <c r="F211" s="103"/>
    </row>
    <row r="212" spans="1:6" ht="15.75">
      <c r="A212" s="103"/>
      <c r="B212" s="103"/>
      <c r="C212" s="103"/>
      <c r="D212" s="103"/>
      <c r="E212" s="103"/>
      <c r="F212" s="103"/>
    </row>
    <row r="213" spans="1:6" ht="15.75">
      <c r="A213" s="103"/>
      <c r="B213" s="103"/>
      <c r="C213" s="103"/>
      <c r="D213" s="103"/>
      <c r="E213" s="103"/>
      <c r="F213" s="103"/>
    </row>
    <row r="214" spans="1:6" ht="15.75">
      <c r="A214" s="103"/>
      <c r="B214" s="103"/>
      <c r="C214" s="103"/>
      <c r="D214" s="103"/>
      <c r="E214" s="103"/>
      <c r="F214" s="103"/>
    </row>
    <row r="215" spans="1:6" ht="15.75">
      <c r="A215" s="103"/>
      <c r="B215" s="103"/>
      <c r="C215" s="103"/>
      <c r="D215" s="103"/>
      <c r="E215" s="103"/>
      <c r="F215" s="103"/>
    </row>
    <row r="216" spans="1:6" ht="15.75">
      <c r="A216" s="103"/>
      <c r="B216" s="103"/>
      <c r="C216" s="103"/>
      <c r="D216" s="103"/>
      <c r="E216" s="103"/>
      <c r="F216" s="103"/>
    </row>
    <row r="217" spans="1:6" ht="15.75">
      <c r="A217" s="103"/>
      <c r="B217" s="103"/>
      <c r="C217" s="103"/>
      <c r="D217" s="103"/>
      <c r="E217" s="103"/>
      <c r="F217" s="103"/>
    </row>
    <row r="218" spans="1:6" ht="15.75">
      <c r="A218" s="103"/>
      <c r="B218" s="103"/>
      <c r="C218" s="103"/>
      <c r="D218" s="103"/>
      <c r="E218" s="103"/>
      <c r="F218" s="103"/>
    </row>
    <row r="219" spans="1:6" ht="15.75">
      <c r="A219" s="103"/>
      <c r="B219" s="103"/>
      <c r="C219" s="103"/>
      <c r="D219" s="103"/>
      <c r="E219" s="103"/>
      <c r="F219" s="103"/>
    </row>
    <row r="220" spans="1:6" ht="15.75">
      <c r="A220" s="103"/>
      <c r="B220" s="103"/>
      <c r="C220" s="103"/>
      <c r="D220" s="103"/>
      <c r="E220" s="103"/>
      <c r="F220" s="103"/>
    </row>
    <row r="221" spans="1:6" ht="15.75">
      <c r="A221" s="103"/>
      <c r="B221" s="103"/>
      <c r="C221" s="103"/>
      <c r="D221" s="103"/>
      <c r="E221" s="103"/>
      <c r="F221" s="103"/>
    </row>
    <row r="222" spans="1:6" ht="15.75">
      <c r="A222" s="103"/>
      <c r="B222" s="103"/>
      <c r="C222" s="103"/>
      <c r="D222" s="103"/>
      <c r="E222" s="103"/>
      <c r="F222" s="103"/>
    </row>
    <row r="223" spans="1:6" ht="15.75">
      <c r="A223" s="103"/>
      <c r="B223" s="103"/>
      <c r="C223" s="103"/>
      <c r="D223" s="103"/>
      <c r="E223" s="103"/>
      <c r="F223" s="103"/>
    </row>
    <row r="224" spans="1:6" ht="15.75">
      <c r="A224" s="103"/>
      <c r="B224" s="103"/>
      <c r="C224" s="103"/>
      <c r="D224" s="103"/>
      <c r="E224" s="103"/>
      <c r="F224" s="103"/>
    </row>
    <row r="225" spans="1:6" ht="15.75">
      <c r="A225" s="103"/>
      <c r="B225" s="103"/>
      <c r="C225" s="103"/>
      <c r="D225" s="103"/>
      <c r="E225" s="103"/>
      <c r="F225" s="103"/>
    </row>
    <row r="226" spans="1:6" ht="15.75">
      <c r="A226" s="103"/>
      <c r="B226" s="103"/>
      <c r="C226" s="103"/>
      <c r="D226" s="103"/>
      <c r="E226" s="103"/>
      <c r="F226" s="103"/>
    </row>
    <row r="227" spans="1:6" ht="15.75">
      <c r="A227" s="103"/>
      <c r="B227" s="103"/>
      <c r="C227" s="103"/>
      <c r="D227" s="103"/>
      <c r="E227" s="103"/>
      <c r="F227" s="103"/>
    </row>
    <row r="228" spans="1:6" ht="15.75">
      <c r="A228" s="103"/>
      <c r="B228" s="103"/>
      <c r="C228" s="103"/>
      <c r="D228" s="103"/>
      <c r="E228" s="103"/>
      <c r="F228" s="103"/>
    </row>
    <row r="229" spans="1:6" ht="15.75">
      <c r="A229" s="103"/>
      <c r="B229" s="103"/>
      <c r="C229" s="103"/>
      <c r="D229" s="103"/>
      <c r="E229" s="103"/>
      <c r="F229" s="103"/>
    </row>
    <row r="230" spans="1:6" ht="15.75">
      <c r="A230" s="103"/>
      <c r="B230" s="103"/>
      <c r="C230" s="103"/>
      <c r="D230" s="103"/>
      <c r="E230" s="103"/>
      <c r="F230" s="103"/>
    </row>
    <row r="231" spans="1:6" ht="15.75">
      <c r="A231" s="103"/>
      <c r="B231" s="103"/>
      <c r="C231" s="103"/>
      <c r="D231" s="103"/>
      <c r="E231" s="103"/>
      <c r="F231" s="103"/>
    </row>
    <row r="232" spans="1:6" ht="15.75">
      <c r="A232" s="103"/>
      <c r="B232" s="103"/>
      <c r="C232" s="103"/>
      <c r="D232" s="103"/>
      <c r="E232" s="103"/>
      <c r="F232" s="103"/>
    </row>
    <row r="233" spans="1:6" ht="15.75">
      <c r="A233" s="103"/>
      <c r="B233" s="103"/>
      <c r="C233" s="103"/>
      <c r="D233" s="103"/>
      <c r="E233" s="103"/>
      <c r="F233" s="103"/>
    </row>
    <row r="234" spans="1:6" ht="15.75">
      <c r="A234" s="103"/>
      <c r="B234" s="103"/>
      <c r="C234" s="103"/>
      <c r="D234" s="103"/>
      <c r="E234" s="103"/>
      <c r="F234" s="103"/>
    </row>
    <row r="235" spans="1:6" ht="15.75">
      <c r="A235" s="103"/>
      <c r="B235" s="103"/>
      <c r="C235" s="103"/>
      <c r="D235" s="103"/>
      <c r="E235" s="103"/>
      <c r="F235" s="103"/>
    </row>
    <row r="236" spans="1:6" ht="15.75">
      <c r="A236" s="103"/>
      <c r="B236" s="103"/>
      <c r="C236" s="103"/>
      <c r="D236" s="103"/>
      <c r="E236" s="103"/>
      <c r="F236" s="103"/>
    </row>
    <row r="237" spans="1:6" ht="15.75">
      <c r="A237" s="103"/>
      <c r="B237" s="103"/>
      <c r="C237" s="103"/>
      <c r="D237" s="103"/>
      <c r="E237" s="103"/>
      <c r="F237" s="103"/>
    </row>
    <row r="238" spans="1:6" ht="15.75">
      <c r="A238" s="103"/>
      <c r="B238" s="103"/>
      <c r="C238" s="103"/>
      <c r="D238" s="103"/>
      <c r="E238" s="103"/>
      <c r="F238" s="103"/>
    </row>
    <row r="239" spans="1:6" ht="15.75">
      <c r="A239" s="103"/>
      <c r="B239" s="103"/>
      <c r="C239" s="103"/>
      <c r="D239" s="103"/>
      <c r="E239" s="103"/>
      <c r="F239" s="103"/>
    </row>
    <row r="240" spans="1:6" ht="15.75">
      <c r="A240" s="103"/>
      <c r="B240" s="103"/>
      <c r="C240" s="103"/>
      <c r="D240" s="103"/>
      <c r="E240" s="103"/>
      <c r="F240" s="103"/>
    </row>
    <row r="241" spans="1:6" ht="15.75">
      <c r="A241" s="103"/>
      <c r="B241" s="103"/>
      <c r="C241" s="103"/>
      <c r="D241" s="103"/>
      <c r="E241" s="103"/>
      <c r="F241" s="103"/>
    </row>
    <row r="242" spans="1:6" ht="15.75">
      <c r="A242" s="103"/>
      <c r="B242" s="103"/>
      <c r="C242" s="103"/>
      <c r="D242" s="103"/>
      <c r="E242" s="103"/>
      <c r="F242" s="103"/>
    </row>
    <row r="243" spans="1:6" ht="15.75">
      <c r="A243" s="103"/>
      <c r="B243" s="103"/>
      <c r="C243" s="103"/>
      <c r="D243" s="103"/>
      <c r="E243" s="103"/>
      <c r="F243" s="103"/>
    </row>
    <row r="244" spans="1:6" ht="15.75">
      <c r="A244" s="103"/>
      <c r="B244" s="103"/>
      <c r="C244" s="103"/>
      <c r="D244" s="103"/>
      <c r="E244" s="103"/>
      <c r="F244" s="103"/>
    </row>
    <row r="245" spans="1:6" ht="15.75">
      <c r="A245" s="103"/>
      <c r="B245" s="103"/>
      <c r="C245" s="103"/>
      <c r="D245" s="103"/>
      <c r="E245" s="103"/>
      <c r="F245" s="103"/>
    </row>
    <row r="246" spans="1:6" ht="15.75">
      <c r="A246" s="103"/>
      <c r="B246" s="103"/>
      <c r="C246" s="103"/>
      <c r="D246" s="103"/>
      <c r="E246" s="103"/>
      <c r="F246" s="103"/>
    </row>
    <row r="247" spans="1:6" ht="15.75">
      <c r="A247" s="103"/>
      <c r="B247" s="103"/>
      <c r="C247" s="103"/>
      <c r="D247" s="103"/>
      <c r="E247" s="103"/>
      <c r="F247" s="103"/>
    </row>
    <row r="248" spans="1:6" ht="15.75">
      <c r="A248" s="103"/>
      <c r="B248" s="103"/>
      <c r="C248" s="103"/>
      <c r="D248" s="103"/>
      <c r="E248" s="103"/>
      <c r="F248" s="103"/>
    </row>
    <row r="249" spans="1:6" ht="15.75">
      <c r="A249" s="103"/>
      <c r="B249" s="103"/>
      <c r="C249" s="103"/>
      <c r="D249" s="103"/>
      <c r="E249" s="103"/>
      <c r="F249" s="103"/>
    </row>
    <row r="250" spans="1:6" ht="15.75">
      <c r="A250" s="103"/>
      <c r="B250" s="103"/>
      <c r="C250" s="103"/>
      <c r="D250" s="103"/>
      <c r="E250" s="103"/>
      <c r="F250" s="103"/>
    </row>
    <row r="251" spans="1:6" ht="15.75">
      <c r="A251" s="103"/>
      <c r="B251" s="103"/>
      <c r="C251" s="103"/>
      <c r="D251" s="103"/>
      <c r="E251" s="103"/>
      <c r="F251" s="103"/>
    </row>
    <row r="252" spans="1:6" ht="15.75">
      <c r="A252" s="103"/>
      <c r="B252" s="103"/>
      <c r="C252" s="103"/>
      <c r="D252" s="103"/>
      <c r="E252" s="103"/>
      <c r="F252" s="103"/>
    </row>
    <row r="253" spans="1:6" ht="15.75">
      <c r="A253" s="103"/>
      <c r="B253" s="103"/>
      <c r="C253" s="103"/>
      <c r="D253" s="103"/>
      <c r="E253" s="103"/>
      <c r="F253" s="103"/>
    </row>
    <row r="254" spans="1:6" ht="15.75">
      <c r="A254" s="103"/>
      <c r="B254" s="103"/>
      <c r="C254" s="103"/>
      <c r="D254" s="103"/>
      <c r="E254" s="103"/>
      <c r="F254" s="103"/>
    </row>
    <row r="255" spans="1:6" ht="15.75">
      <c r="A255" s="103"/>
      <c r="B255" s="103"/>
      <c r="C255" s="103"/>
      <c r="D255" s="103"/>
      <c r="E255" s="103"/>
      <c r="F255" s="103"/>
    </row>
    <row r="256" spans="1:6" ht="15.75">
      <c r="A256" s="103"/>
      <c r="B256" s="103"/>
      <c r="C256" s="103"/>
      <c r="D256" s="103"/>
      <c r="E256" s="103"/>
      <c r="F256" s="103"/>
    </row>
    <row r="257" spans="1:6" ht="15.75">
      <c r="A257" s="103"/>
      <c r="B257" s="103"/>
      <c r="C257" s="103"/>
      <c r="D257" s="103"/>
      <c r="E257" s="103"/>
      <c r="F257" s="103"/>
    </row>
    <row r="258" spans="1:6" ht="15.75">
      <c r="A258" s="103"/>
      <c r="B258" s="103"/>
      <c r="C258" s="103"/>
      <c r="D258" s="103"/>
      <c r="E258" s="103"/>
      <c r="F258" s="103"/>
    </row>
    <row r="259" spans="1:6" ht="15.75">
      <c r="A259" s="103"/>
      <c r="B259" s="103"/>
      <c r="C259" s="103"/>
      <c r="D259" s="103"/>
      <c r="E259" s="103"/>
      <c r="F259" s="103"/>
    </row>
    <row r="260" spans="1:6" ht="15.75">
      <c r="A260" s="103"/>
      <c r="B260" s="103"/>
      <c r="C260" s="103"/>
      <c r="D260" s="103"/>
      <c r="E260" s="103"/>
      <c r="F260" s="103"/>
    </row>
    <row r="261" spans="1:6" ht="15.75">
      <c r="A261" s="103"/>
      <c r="B261" s="103"/>
      <c r="C261" s="103"/>
      <c r="D261" s="103"/>
      <c r="E261" s="103"/>
      <c r="F261" s="103"/>
    </row>
    <row r="262" spans="1:6" ht="15.75">
      <c r="A262" s="103"/>
      <c r="B262" s="103"/>
      <c r="C262" s="103"/>
      <c r="D262" s="103"/>
      <c r="E262" s="103"/>
      <c r="F262" s="103"/>
    </row>
    <row r="263" spans="1:6" ht="15.75">
      <c r="A263" s="103"/>
      <c r="B263" s="103"/>
      <c r="C263" s="103"/>
      <c r="D263" s="103"/>
      <c r="E263" s="103"/>
      <c r="F263" s="103"/>
    </row>
    <row r="264" spans="1:6" ht="15.75">
      <c r="A264" s="103"/>
      <c r="B264" s="103"/>
      <c r="C264" s="103"/>
      <c r="D264" s="103"/>
      <c r="E264" s="103"/>
      <c r="F264" s="103"/>
    </row>
    <row r="265" spans="1:6" ht="15.75">
      <c r="A265" s="103"/>
      <c r="B265" s="103"/>
      <c r="C265" s="103"/>
      <c r="D265" s="103"/>
      <c r="E265" s="103"/>
      <c r="F265" s="103"/>
    </row>
    <row r="266" spans="1:6" ht="15.75">
      <c r="A266" s="103"/>
      <c r="B266" s="103"/>
      <c r="C266" s="103"/>
      <c r="D266" s="103"/>
      <c r="E266" s="103"/>
      <c r="F266" s="103"/>
    </row>
    <row r="267" spans="1:6" ht="15.75">
      <c r="A267" s="103"/>
      <c r="B267" s="103"/>
      <c r="C267" s="103"/>
      <c r="D267" s="103"/>
      <c r="E267" s="103"/>
      <c r="F267" s="103"/>
    </row>
    <row r="268" spans="1:6" ht="15.75">
      <c r="A268" s="103"/>
      <c r="B268" s="103"/>
      <c r="C268" s="103"/>
      <c r="D268" s="103"/>
      <c r="E268" s="103"/>
      <c r="F268" s="103"/>
    </row>
    <row r="269" spans="1:6" ht="15.75">
      <c r="A269" s="103"/>
      <c r="B269" s="103"/>
      <c r="C269" s="103"/>
      <c r="D269" s="103"/>
      <c r="E269" s="103"/>
      <c r="F269" s="103"/>
    </row>
    <row r="270" spans="1:6" ht="15.75">
      <c r="A270" s="103"/>
      <c r="B270" s="103"/>
      <c r="C270" s="103"/>
      <c r="D270" s="103"/>
      <c r="E270" s="103"/>
      <c r="F270" s="103"/>
    </row>
    <row r="271" spans="1:6" ht="15.75">
      <c r="A271" s="103"/>
      <c r="B271" s="103"/>
      <c r="C271" s="103"/>
      <c r="D271" s="103"/>
      <c r="E271" s="103"/>
      <c r="F271" s="103"/>
    </row>
    <row r="272" spans="1:6" ht="15.75">
      <c r="A272" s="103"/>
      <c r="B272" s="103"/>
      <c r="C272" s="103"/>
      <c r="D272" s="103"/>
      <c r="E272" s="103"/>
      <c r="F272" s="103"/>
    </row>
    <row r="273" spans="1:6" ht="15.75">
      <c r="A273" s="103"/>
      <c r="B273" s="103"/>
      <c r="C273" s="103"/>
      <c r="D273" s="103"/>
      <c r="E273" s="103"/>
      <c r="F273" s="103"/>
    </row>
    <row r="274" spans="1:6" ht="15.75">
      <c r="A274" s="103"/>
      <c r="B274" s="103"/>
      <c r="C274" s="103"/>
      <c r="D274" s="103"/>
      <c r="E274" s="103"/>
      <c r="F274" s="103"/>
    </row>
    <row r="275" spans="1:6" ht="15.75">
      <c r="A275" s="103"/>
      <c r="B275" s="103"/>
      <c r="C275" s="103"/>
      <c r="D275" s="103"/>
      <c r="E275" s="103"/>
      <c r="F275" s="103"/>
    </row>
    <row r="276" spans="1:6" ht="15.75">
      <c r="A276" s="103"/>
      <c r="B276" s="103"/>
      <c r="C276" s="103"/>
      <c r="D276" s="103"/>
      <c r="E276" s="103"/>
      <c r="F276" s="103"/>
    </row>
    <row r="277" spans="1:6" ht="15.75">
      <c r="A277" s="103"/>
      <c r="B277" s="103"/>
      <c r="C277" s="103"/>
      <c r="D277" s="103"/>
      <c r="E277" s="103"/>
      <c r="F277" s="103"/>
    </row>
    <row r="278" spans="1:6" ht="15.75">
      <c r="A278" s="103"/>
      <c r="B278" s="103"/>
      <c r="C278" s="103"/>
      <c r="D278" s="103"/>
      <c r="E278" s="103"/>
      <c r="F278" s="103"/>
    </row>
    <row r="279" spans="1:6" ht="15.75">
      <c r="A279" s="103"/>
      <c r="B279" s="103"/>
      <c r="C279" s="103"/>
      <c r="D279" s="103"/>
      <c r="E279" s="103"/>
      <c r="F279" s="103"/>
    </row>
    <row r="280" spans="1:6" ht="15.75">
      <c r="A280" s="103"/>
      <c r="B280" s="103"/>
      <c r="C280" s="103"/>
      <c r="D280" s="103"/>
      <c r="E280" s="103"/>
      <c r="F280" s="103"/>
    </row>
    <row r="281" spans="1:6" ht="15.75">
      <c r="A281" s="103"/>
      <c r="B281" s="103"/>
      <c r="C281" s="103"/>
      <c r="D281" s="103"/>
      <c r="E281" s="103"/>
      <c r="F281" s="103"/>
    </row>
    <row r="282" spans="1:6" ht="15.75">
      <c r="A282" s="103"/>
      <c r="B282" s="103"/>
      <c r="C282" s="103"/>
      <c r="D282" s="103"/>
      <c r="E282" s="103"/>
      <c r="F282" s="103"/>
    </row>
    <row r="283" spans="1:6" ht="15.75">
      <c r="A283" s="103"/>
      <c r="B283" s="103"/>
      <c r="C283" s="103"/>
      <c r="D283" s="103"/>
      <c r="E283" s="103"/>
      <c r="F283" s="103"/>
    </row>
    <row r="284" spans="1:6" ht="15.75">
      <c r="A284" s="103"/>
      <c r="B284" s="103"/>
      <c r="C284" s="103"/>
      <c r="D284" s="103"/>
      <c r="E284" s="103"/>
      <c r="F284" s="103"/>
    </row>
    <row r="285" spans="1:6" ht="15.75">
      <c r="A285" s="103"/>
      <c r="B285" s="103"/>
      <c r="C285" s="103"/>
      <c r="D285" s="103"/>
      <c r="E285" s="103"/>
      <c r="F285" s="103"/>
    </row>
    <row r="286" spans="1:6" ht="15.75">
      <c r="A286" s="103"/>
      <c r="B286" s="103"/>
      <c r="C286" s="103"/>
      <c r="D286" s="103"/>
      <c r="E286" s="103"/>
      <c r="F286" s="103"/>
    </row>
    <row r="287" spans="1:6" ht="15.75">
      <c r="A287" s="103"/>
      <c r="B287" s="103"/>
      <c r="C287" s="103"/>
      <c r="D287" s="103"/>
      <c r="E287" s="103"/>
      <c r="F287" s="103"/>
    </row>
    <row r="288" spans="1:6" ht="15.75">
      <c r="A288" s="103"/>
      <c r="B288" s="103"/>
      <c r="C288" s="103"/>
      <c r="D288" s="103"/>
      <c r="E288" s="103"/>
      <c r="F288" s="103"/>
    </row>
    <row r="289" spans="1:6" ht="15.75">
      <c r="A289" s="103"/>
      <c r="B289" s="103"/>
      <c r="C289" s="103"/>
      <c r="D289" s="103"/>
      <c r="E289" s="103"/>
      <c r="F289" s="103"/>
    </row>
    <row r="290" spans="1:6" ht="15.75">
      <c r="A290" s="103"/>
      <c r="B290" s="103"/>
      <c r="C290" s="103"/>
      <c r="D290" s="103"/>
      <c r="E290" s="103"/>
      <c r="F290" s="103"/>
    </row>
    <row r="291" spans="1:6" ht="15.75">
      <c r="A291" s="103"/>
      <c r="B291" s="103"/>
      <c r="C291" s="103"/>
      <c r="D291" s="103"/>
      <c r="E291" s="103"/>
      <c r="F291" s="103"/>
    </row>
    <row r="292" spans="1:6" ht="15.75">
      <c r="A292" s="103"/>
      <c r="B292" s="103"/>
      <c r="C292" s="103"/>
      <c r="D292" s="103"/>
      <c r="E292" s="103"/>
      <c r="F292" s="103"/>
    </row>
    <row r="293" spans="1:6" ht="15.75">
      <c r="A293" s="103"/>
      <c r="B293" s="103"/>
      <c r="C293" s="103"/>
      <c r="D293" s="103"/>
      <c r="E293" s="103"/>
      <c r="F293" s="103"/>
    </row>
    <row r="294" spans="1:6" ht="15.75">
      <c r="A294" s="103"/>
      <c r="B294" s="103"/>
      <c r="C294" s="103"/>
      <c r="D294" s="103"/>
      <c r="E294" s="103"/>
      <c r="F294" s="103"/>
    </row>
    <row r="295" spans="1:6" ht="15.75">
      <c r="A295" s="103"/>
      <c r="B295" s="103"/>
      <c r="C295" s="103"/>
      <c r="D295" s="103"/>
      <c r="E295" s="103"/>
      <c r="F295" s="103"/>
    </row>
    <row r="296" spans="1:6" ht="15.75">
      <c r="A296" s="103"/>
      <c r="B296" s="103"/>
      <c r="C296" s="103"/>
      <c r="D296" s="103"/>
      <c r="E296" s="103"/>
      <c r="F296" s="103"/>
    </row>
    <row r="297" spans="1:6" ht="15.75">
      <c r="A297" s="103"/>
      <c r="B297" s="103"/>
      <c r="C297" s="103"/>
      <c r="D297" s="103"/>
      <c r="E297" s="103"/>
      <c r="F297" s="103"/>
    </row>
    <row r="298" spans="1:6" ht="15.75">
      <c r="A298" s="103"/>
      <c r="B298" s="103"/>
      <c r="C298" s="103"/>
      <c r="D298" s="103"/>
      <c r="E298" s="103"/>
      <c r="F298" s="103"/>
    </row>
    <row r="299" spans="1:6" ht="15.75">
      <c r="A299" s="103"/>
      <c r="B299" s="103"/>
      <c r="C299" s="103"/>
      <c r="D299" s="103"/>
      <c r="E299" s="103"/>
      <c r="F299" s="103"/>
    </row>
    <row r="300" spans="1:6" ht="15.75">
      <c r="A300" s="103"/>
      <c r="B300" s="103"/>
      <c r="C300" s="103"/>
      <c r="D300" s="103"/>
      <c r="E300" s="103"/>
      <c r="F300" s="103"/>
    </row>
    <row r="301" spans="1:6" ht="15.75">
      <c r="A301" s="103"/>
      <c r="B301" s="103"/>
      <c r="C301" s="103"/>
      <c r="D301" s="103"/>
      <c r="E301" s="103"/>
      <c r="F301" s="103"/>
    </row>
    <row r="302" spans="1:6" ht="15.75">
      <c r="A302" s="103"/>
      <c r="B302" s="103"/>
      <c r="C302" s="103"/>
      <c r="D302" s="103"/>
      <c r="E302" s="103"/>
      <c r="F302" s="103"/>
    </row>
    <row r="303" spans="1:6" ht="15.75">
      <c r="A303" s="103"/>
      <c r="B303" s="103"/>
      <c r="C303" s="103"/>
      <c r="D303" s="103"/>
      <c r="E303" s="103"/>
      <c r="F303" s="103"/>
    </row>
    <row r="304" spans="1:6" ht="15.75">
      <c r="A304" s="103"/>
      <c r="B304" s="103"/>
      <c r="C304" s="103"/>
      <c r="D304" s="103"/>
      <c r="E304" s="103"/>
      <c r="F304" s="103"/>
    </row>
  </sheetData>
  <mergeCells count="28">
    <mergeCell ref="A18:B18"/>
    <mergeCell ref="B3:D3"/>
    <mergeCell ref="A13:F13"/>
    <mergeCell ref="A14:F14"/>
    <mergeCell ref="A16:B16"/>
    <mergeCell ref="A17:B17"/>
    <mergeCell ref="A52:B52"/>
    <mergeCell ref="A19:B19"/>
    <mergeCell ref="A20:B20"/>
    <mergeCell ref="A21:B21"/>
    <mergeCell ref="A22:B22"/>
    <mergeCell ref="A23:B23"/>
    <mergeCell ref="A24:B24"/>
    <mergeCell ref="A46:F46"/>
    <mergeCell ref="A48:B48"/>
    <mergeCell ref="A49:B49"/>
    <mergeCell ref="A50:B50"/>
    <mergeCell ref="A51:B51"/>
    <mergeCell ref="A59:B59"/>
    <mergeCell ref="A60:B60"/>
    <mergeCell ref="A61:B61"/>
    <mergeCell ref="A62:B62"/>
    <mergeCell ref="A53:B53"/>
    <mergeCell ref="A54:B54"/>
    <mergeCell ref="A55:B55"/>
    <mergeCell ref="A56:B56"/>
    <mergeCell ref="A57:B57"/>
    <mergeCell ref="A58:B58"/>
  </mergeCells>
  <printOptions horizontalCentered="1"/>
  <pageMargins left="0.5" right="0.5" top="0.5" bottom="0.5" header="0.5" footer="0.5"/>
  <pageSetup orientation="portrait" r:id="rId1"/>
  <headerFooter alignWithMargins="0"/>
  <rowBreaks count="1" manualBreakCount="1">
    <brk id="8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4"/>
  <sheetViews>
    <sheetView zoomScaleNormal="100" workbookViewId="0">
      <selection activeCell="F4" sqref="F4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7.125" style="2" bestFit="1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8.125" style="2" customWidth="1"/>
    <col min="12" max="12" width="13.75" style="2" customWidth="1"/>
    <col min="13" max="13" width="11.375" style="2" customWidth="1"/>
    <col min="14" max="14" width="14" style="2" bestFit="1" customWidth="1"/>
    <col min="15" max="15" width="13.125" style="2" bestFit="1" customWidth="1"/>
    <col min="16" max="16" width="10.25" style="2" customWidth="1"/>
    <col min="17" max="17" width="11.5" style="2" customWidth="1"/>
    <col min="18" max="18" width="11.875" style="2" customWidth="1"/>
    <col min="19" max="19" width="13.25" style="2" bestFit="1" customWidth="1"/>
    <col min="20" max="20" width="12.125" style="2" customWidth="1"/>
    <col min="21" max="21" width="12.5" style="2" bestFit="1" customWidth="1"/>
    <col min="22" max="22" width="13" style="2" customWidth="1"/>
    <col min="23" max="23" width="12.5" style="2" bestFit="1" customWidth="1"/>
    <col min="24" max="24" width="11.125" style="2" bestFit="1" customWidth="1"/>
    <col min="25" max="25" width="11.25" style="2" customWidth="1"/>
    <col min="26" max="26" width="12.625" style="2" customWidth="1"/>
    <col min="27" max="27" width="11.125" style="2" bestFit="1" customWidth="1"/>
    <col min="28" max="28" width="10.75" style="2" customWidth="1"/>
    <col min="29" max="29" width="12.5" style="2" bestFit="1" customWidth="1"/>
    <col min="30" max="30" width="10.375" style="2" customWidth="1"/>
    <col min="31" max="31" width="11.375" style="2" customWidth="1"/>
    <col min="32" max="32" width="11.75" style="2" customWidth="1"/>
    <col min="33" max="33" width="13" style="2" customWidth="1"/>
    <col min="34" max="34" width="9" style="2"/>
    <col min="35" max="35" width="11.125" style="2" customWidth="1"/>
    <col min="36" max="36" width="9" style="2"/>
    <col min="37" max="37" width="12.875" style="2" customWidth="1"/>
    <col min="38" max="16384" width="9" style="2"/>
  </cols>
  <sheetData>
    <row r="1" spans="1:32" ht="15.95" customHeight="1">
      <c r="E1" s="3"/>
      <c r="F1" s="99" t="s">
        <v>23</v>
      </c>
    </row>
    <row r="2" spans="1:32" ht="15.95" customHeight="1">
      <c r="E2" s="3"/>
      <c r="F2" s="99" t="s">
        <v>52</v>
      </c>
    </row>
    <row r="3" spans="1:32" ht="15.95" customHeight="1">
      <c r="B3" s="127" t="s">
        <v>41</v>
      </c>
      <c r="C3" s="127"/>
      <c r="D3" s="127"/>
      <c r="E3" s="3"/>
      <c r="F3" s="99" t="s">
        <v>53</v>
      </c>
    </row>
    <row r="4" spans="1:32" ht="15.95" customHeight="1">
      <c r="E4" s="3"/>
      <c r="F4" s="99" t="s">
        <v>54</v>
      </c>
    </row>
    <row r="5" spans="1:32" ht="15.95" customHeight="1">
      <c r="E5" s="3"/>
      <c r="F5" s="99" t="s">
        <v>24</v>
      </c>
    </row>
    <row r="6" spans="1:32" ht="16.5">
      <c r="A6" s="4"/>
      <c r="B6" s="4"/>
      <c r="C6" s="4"/>
      <c r="D6" s="5"/>
      <c r="E6" s="5"/>
      <c r="F6" s="100"/>
    </row>
    <row r="7" spans="1:32" ht="15.75">
      <c r="D7" s="3"/>
      <c r="E7" s="3"/>
    </row>
    <row r="8" spans="1:32" ht="19.5" customHeight="1">
      <c r="A8" s="102" t="s">
        <v>244</v>
      </c>
      <c r="B8" s="103" t="s">
        <v>37</v>
      </c>
      <c r="C8" s="103"/>
      <c r="D8" s="103"/>
      <c r="E8" s="103"/>
      <c r="F8" s="103"/>
    </row>
    <row r="9" spans="1:32" ht="19.5" customHeight="1">
      <c r="A9" s="102" t="s">
        <v>245</v>
      </c>
      <c r="B9" s="103" t="s">
        <v>93</v>
      </c>
      <c r="C9" s="103"/>
      <c r="D9" s="103"/>
      <c r="E9" s="103"/>
      <c r="F9" s="103"/>
    </row>
    <row r="10" spans="1:32" ht="19.5" customHeight="1">
      <c r="A10" s="102" t="s">
        <v>246</v>
      </c>
      <c r="B10" s="104">
        <v>41289</v>
      </c>
      <c r="C10" s="103"/>
      <c r="D10" s="103"/>
      <c r="E10" s="103"/>
      <c r="F10" s="103"/>
    </row>
    <row r="11" spans="1:32" ht="19.5" customHeight="1">
      <c r="A11" s="102" t="s">
        <v>247</v>
      </c>
      <c r="B11" s="103" t="s">
        <v>237</v>
      </c>
      <c r="C11" s="103"/>
      <c r="D11" s="103"/>
      <c r="E11" s="103"/>
      <c r="F11" s="103"/>
    </row>
    <row r="12" spans="1:32" ht="15.75" customHeight="1">
      <c r="A12" s="102"/>
      <c r="B12" s="103"/>
      <c r="C12" s="103"/>
      <c r="D12" s="103"/>
      <c r="E12" s="103"/>
      <c r="F12" s="103"/>
    </row>
    <row r="13" spans="1:32" ht="5.25" customHeight="1">
      <c r="A13" s="128"/>
      <c r="B13" s="128"/>
      <c r="C13" s="128"/>
      <c r="D13" s="128"/>
      <c r="E13" s="128"/>
      <c r="F13" s="128"/>
    </row>
    <row r="14" spans="1:32" ht="21" customHeight="1">
      <c r="A14" s="130" t="s">
        <v>172</v>
      </c>
      <c r="B14" s="130"/>
      <c r="C14" s="130"/>
      <c r="D14" s="130"/>
      <c r="E14" s="130"/>
      <c r="F14" s="130"/>
    </row>
    <row r="15" spans="1:32" ht="8.25" customHeight="1">
      <c r="A15" s="103"/>
      <c r="B15" s="103"/>
      <c r="C15" s="103"/>
      <c r="D15" s="103"/>
      <c r="E15" s="103"/>
      <c r="F15" s="103"/>
      <c r="N15" s="34"/>
      <c r="O15" s="34"/>
      <c r="P15" s="34"/>
      <c r="Q15" s="34"/>
    </row>
    <row r="16" spans="1:32" ht="39">
      <c r="A16" s="129"/>
      <c r="B16" s="129"/>
      <c r="C16" s="105" t="s">
        <v>238</v>
      </c>
      <c r="D16" s="105" t="s">
        <v>239</v>
      </c>
      <c r="E16" s="105" t="s">
        <v>25</v>
      </c>
      <c r="F16" s="105" t="s">
        <v>240</v>
      </c>
      <c r="G16" s="10">
        <v>0.25</v>
      </c>
      <c r="H16" s="2" t="s">
        <v>42</v>
      </c>
      <c r="I16" s="10">
        <v>0.25</v>
      </c>
      <c r="K16" s="9" t="s">
        <v>238</v>
      </c>
      <c r="L16" s="9" t="s">
        <v>241</v>
      </c>
      <c r="M16" s="9">
        <v>2013</v>
      </c>
      <c r="N16" s="9" t="s">
        <v>196</v>
      </c>
      <c r="O16" s="9" t="s">
        <v>197</v>
      </c>
      <c r="P16" s="9">
        <v>2012</v>
      </c>
      <c r="Q16" s="9" t="s">
        <v>151</v>
      </c>
      <c r="R16" s="9" t="s">
        <v>195</v>
      </c>
      <c r="S16" s="9" t="s">
        <v>192</v>
      </c>
      <c r="T16" s="9">
        <v>2011</v>
      </c>
      <c r="U16" s="9" t="s">
        <v>94</v>
      </c>
      <c r="V16" s="9" t="s">
        <v>194</v>
      </c>
      <c r="W16" s="9" t="s">
        <v>193</v>
      </c>
      <c r="X16" s="9">
        <v>2010</v>
      </c>
      <c r="Y16" s="9" t="s">
        <v>1</v>
      </c>
      <c r="Z16" s="9" t="s">
        <v>103</v>
      </c>
      <c r="AA16" s="9" t="s">
        <v>106</v>
      </c>
      <c r="AB16" s="9">
        <v>2009</v>
      </c>
      <c r="AC16" s="9" t="s">
        <v>104</v>
      </c>
      <c r="AD16" s="9" t="s">
        <v>105</v>
      </c>
      <c r="AE16" s="9" t="s">
        <v>107</v>
      </c>
      <c r="AF16" s="9">
        <v>2008</v>
      </c>
    </row>
    <row r="17" spans="1:32" ht="15.75" customHeight="1">
      <c r="A17" s="123" t="s">
        <v>26</v>
      </c>
      <c r="B17" s="123"/>
      <c r="C17" s="112">
        <f>K17</f>
        <v>178536569</v>
      </c>
      <c r="D17" s="112">
        <f>L17</f>
        <v>100733148</v>
      </c>
      <c r="E17" s="106">
        <f t="shared" ref="E17:E24" si="0">(D17/C17)</f>
        <v>0.56421577139191015</v>
      </c>
      <c r="F17" s="115">
        <f t="shared" ref="F17:F23" si="1">D17-G17</f>
        <v>56099005.75</v>
      </c>
      <c r="G17" s="14">
        <f>C17*0.25</f>
        <v>44634142.25</v>
      </c>
      <c r="H17" s="15">
        <f t="shared" ref="H17:H23" si="2">C17-D17</f>
        <v>77803421</v>
      </c>
      <c r="I17" s="10">
        <v>0.25</v>
      </c>
      <c r="J17" s="21" t="str">
        <f>A17</f>
        <v>Current / Delinquent Taxes</v>
      </c>
      <c r="K17" s="82">
        <v>178536569</v>
      </c>
      <c r="L17" s="82">
        <v>100733148</v>
      </c>
      <c r="M17" s="41">
        <f>L17/K17</f>
        <v>0.56421577139191015</v>
      </c>
      <c r="N17" s="82">
        <v>172920521</v>
      </c>
      <c r="O17" s="82">
        <v>76278656</v>
      </c>
      <c r="P17" s="41">
        <f>O17/N17</f>
        <v>0.44111974425522349</v>
      </c>
      <c r="Q17" s="82">
        <v>170741229</v>
      </c>
      <c r="R17" s="82">
        <v>96940992</v>
      </c>
      <c r="S17" s="82">
        <v>171396885</v>
      </c>
      <c r="T17" s="41">
        <f>(R17/S17)</f>
        <v>0.56559366291866975</v>
      </c>
      <c r="U17" s="11">
        <v>175930506</v>
      </c>
      <c r="V17" s="11">
        <v>94795716.219999999</v>
      </c>
      <c r="W17" s="11">
        <v>175482441</v>
      </c>
      <c r="X17" s="12">
        <f>(V17/W17)</f>
        <v>0.54020057892857776</v>
      </c>
      <c r="Y17" s="11">
        <f>'FY 2009 Rev 01-15-10'!E3</f>
        <v>173590951</v>
      </c>
      <c r="Z17" s="11">
        <f>SUM('FY 2009 Rev 01-15-10'!F3:H3)</f>
        <v>77611972.549999997</v>
      </c>
      <c r="AA17" s="11">
        <v>174855279</v>
      </c>
      <c r="AB17" s="12">
        <f t="shared" ref="AB17:AB24" si="3">Z17/AA17</f>
        <v>0.44386405142506447</v>
      </c>
      <c r="AC17" s="11">
        <v>171068428</v>
      </c>
      <c r="AD17" s="11">
        <f>SUM('FY 2008 Rev 01-15-10'!F3:H3)</f>
        <v>76794079.36999999</v>
      </c>
      <c r="AE17" s="11">
        <v>171033213</v>
      </c>
      <c r="AF17" s="12">
        <f t="shared" ref="AF17:AF24" si="4">AD17/AE17</f>
        <v>0.44900097485743889</v>
      </c>
    </row>
    <row r="18" spans="1:32" ht="15.75" customHeight="1">
      <c r="A18" s="123" t="s">
        <v>95</v>
      </c>
      <c r="B18" s="123"/>
      <c r="C18" s="107">
        <f>K18</f>
        <v>279000</v>
      </c>
      <c r="D18" s="107">
        <f>L18</f>
        <v>101843</v>
      </c>
      <c r="E18" s="106">
        <f>(D18/C18)</f>
        <v>0.36502867383512544</v>
      </c>
      <c r="F18" s="108">
        <f>D18-G18</f>
        <v>32093</v>
      </c>
      <c r="G18" s="14">
        <f>C18*0.25</f>
        <v>69750</v>
      </c>
      <c r="H18" s="15">
        <f t="shared" si="2"/>
        <v>177157</v>
      </c>
      <c r="I18" s="10">
        <v>0.25</v>
      </c>
      <c r="J18" s="21" t="str">
        <f t="shared" ref="J18:J23" si="5">A18</f>
        <v>License / Permits</v>
      </c>
      <c r="K18" s="83">
        <v>279000</v>
      </c>
      <c r="L18" s="83">
        <f>101843</f>
        <v>101843</v>
      </c>
      <c r="M18" s="41">
        <f t="shared" ref="M18:M23" si="6">L18/K18</f>
        <v>0.36502867383512544</v>
      </c>
      <c r="N18" s="83">
        <v>280300</v>
      </c>
      <c r="O18" s="83">
        <v>63801</v>
      </c>
      <c r="P18" s="41">
        <f t="shared" ref="P18:P23" si="7">O18/N18</f>
        <v>0.22761683910096325</v>
      </c>
      <c r="Q18" s="83">
        <v>246000</v>
      </c>
      <c r="R18" s="83">
        <f>1500+80024</f>
        <v>81524</v>
      </c>
      <c r="S18" s="83">
        <v>315483</v>
      </c>
      <c r="T18" s="41">
        <f t="shared" ref="T18:T24" si="8">(R18/S18)</f>
        <v>0.258410120355138</v>
      </c>
      <c r="U18" s="16">
        <v>335854</v>
      </c>
      <c r="V18" s="28">
        <v>75982</v>
      </c>
      <c r="W18" s="28">
        <v>255670</v>
      </c>
      <c r="X18" s="12">
        <f t="shared" ref="X18:X24" si="9">(V18/W18)</f>
        <v>0.29718778112410527</v>
      </c>
      <c r="Y18" s="28">
        <f>'FY 2009 Rev 01-15-10'!E6</f>
        <v>650650</v>
      </c>
      <c r="Z18" s="28">
        <f>SUM('FY 2009 Rev 01-15-10'!F6:H6)</f>
        <v>81362.3</v>
      </c>
      <c r="AA18" s="28">
        <f>'FY 2009 Rev 01-15-10'!D6</f>
        <v>283457.14</v>
      </c>
      <c r="AB18" s="12">
        <f t="shared" si="3"/>
        <v>0.28703563438197394</v>
      </c>
      <c r="AC18" s="28">
        <v>826700</v>
      </c>
      <c r="AD18" s="28">
        <f>SUM('FY 2008 Rev 01-15-10'!F6:H6)</f>
        <v>150741</v>
      </c>
      <c r="AE18" s="28">
        <v>653857</v>
      </c>
      <c r="AF18" s="12">
        <f t="shared" si="4"/>
        <v>0.23054123455128567</v>
      </c>
    </row>
    <row r="19" spans="1:32" ht="15.75" customHeight="1">
      <c r="A19" s="123" t="s">
        <v>51</v>
      </c>
      <c r="B19" s="123"/>
      <c r="C19" s="107">
        <f t="shared" ref="C19:C23" si="10">K19</f>
        <v>8786551</v>
      </c>
      <c r="D19" s="107">
        <f t="shared" ref="D19:D23" si="11">L19</f>
        <v>2965349</v>
      </c>
      <c r="E19" s="106">
        <f t="shared" si="0"/>
        <v>0.33748725751435349</v>
      </c>
      <c r="F19" s="108">
        <f t="shared" si="1"/>
        <v>768711.25</v>
      </c>
      <c r="G19" s="27">
        <f t="shared" ref="G19:G24" si="12">C19*0.25</f>
        <v>2196637.75</v>
      </c>
      <c r="H19" s="27">
        <f t="shared" si="2"/>
        <v>5821202</v>
      </c>
      <c r="I19" s="10">
        <v>0.25</v>
      </c>
      <c r="J19" s="21" t="str">
        <f t="shared" si="5"/>
        <v>Intergovernmental Revenue</v>
      </c>
      <c r="K19" s="83">
        <v>8786551</v>
      </c>
      <c r="L19" s="83">
        <f>391262+2443+53957+2119993+397694</f>
        <v>2965349</v>
      </c>
      <c r="M19" s="41">
        <f t="shared" si="6"/>
        <v>0.33748725751435349</v>
      </c>
      <c r="N19" s="83">
        <v>9897851</v>
      </c>
      <c r="O19" s="83">
        <v>3611905</v>
      </c>
      <c r="P19" s="41">
        <f t="shared" si="7"/>
        <v>0.36491810191929541</v>
      </c>
      <c r="Q19" s="83">
        <v>10310296</v>
      </c>
      <c r="R19" s="83">
        <f>615688+1933269+2792824</f>
        <v>5341781</v>
      </c>
      <c r="S19" s="83">
        <v>20939933</v>
      </c>
      <c r="T19" s="41">
        <f t="shared" si="8"/>
        <v>0.25510019540177137</v>
      </c>
      <c r="U19" s="16">
        <v>10763558</v>
      </c>
      <c r="V19" s="28">
        <v>2323691.9299999997</v>
      </c>
      <c r="W19" s="28">
        <v>17592701</v>
      </c>
      <c r="X19" s="12">
        <f t="shared" si="9"/>
        <v>0.13208272737654098</v>
      </c>
      <c r="Y19" s="28">
        <f>'FY 2009 Rev 01-15-10'!E13</f>
        <v>9723482</v>
      </c>
      <c r="Z19" s="28">
        <f>SUM('FY 2009 Rev 01-15-10'!F13:H13)</f>
        <v>5214766.1399999997</v>
      </c>
      <c r="AA19" s="28">
        <v>18219983</v>
      </c>
      <c r="AB19" s="12">
        <f t="shared" si="3"/>
        <v>0.28621136144858089</v>
      </c>
      <c r="AC19" s="28">
        <v>14349223</v>
      </c>
      <c r="AD19" s="28">
        <f>SUM('FY 2008 Rev 01-15-10'!F12:H12)</f>
        <v>4225537.04</v>
      </c>
      <c r="AE19" s="28">
        <v>14374024</v>
      </c>
      <c r="AF19" s="12">
        <f t="shared" si="4"/>
        <v>0.29397036209206273</v>
      </c>
    </row>
    <row r="20" spans="1:32" ht="15.75" customHeight="1">
      <c r="A20" s="123" t="s">
        <v>2</v>
      </c>
      <c r="B20" s="123"/>
      <c r="C20" s="107">
        <f t="shared" si="10"/>
        <v>44239275</v>
      </c>
      <c r="D20" s="107">
        <f t="shared" si="11"/>
        <v>9051319</v>
      </c>
      <c r="E20" s="106">
        <f t="shared" si="0"/>
        <v>0.20459917121155352</v>
      </c>
      <c r="F20" s="108">
        <f t="shared" si="1"/>
        <v>-2008499.75</v>
      </c>
      <c r="G20" s="27">
        <f t="shared" si="12"/>
        <v>11059818.75</v>
      </c>
      <c r="H20" s="27">
        <f t="shared" si="2"/>
        <v>35187956</v>
      </c>
      <c r="I20" s="10">
        <v>0.25</v>
      </c>
      <c r="J20" s="21" t="str">
        <f t="shared" si="5"/>
        <v>Fees/Charges for Services</v>
      </c>
      <c r="K20" s="83">
        <v>44239275</v>
      </c>
      <c r="L20" s="83">
        <f>1285817+1583148+2316322+6860+1426022+2433150</f>
        <v>9051319</v>
      </c>
      <c r="M20" s="41">
        <f t="shared" si="6"/>
        <v>0.20459917121155352</v>
      </c>
      <c r="N20" s="83">
        <v>39758436</v>
      </c>
      <c r="O20" s="83">
        <v>7272358</v>
      </c>
      <c r="P20" s="41">
        <f t="shared" si="7"/>
        <v>0.18291358342164163</v>
      </c>
      <c r="Q20" s="83">
        <v>38925096</v>
      </c>
      <c r="R20" s="83">
        <f>1520268+1242902+1872813+9300+807916+1504308</f>
        <v>6957507</v>
      </c>
      <c r="S20" s="83">
        <v>38970040</v>
      </c>
      <c r="T20" s="41">
        <f t="shared" si="8"/>
        <v>0.17853476670796334</v>
      </c>
      <c r="U20" s="16">
        <v>40351226</v>
      </c>
      <c r="V20" s="28">
        <v>7151642.0300000003</v>
      </c>
      <c r="W20" s="28">
        <v>37730335</v>
      </c>
      <c r="X20" s="12">
        <f t="shared" si="9"/>
        <v>0.18954621076118197</v>
      </c>
      <c r="Y20" s="28">
        <f>'FY 2009 Rev 01-15-10'!E21</f>
        <v>38656872</v>
      </c>
      <c r="Z20" s="28">
        <f>SUM('FY 2009 Rev 01-15-10'!F21:H21)</f>
        <v>6447635.6799999997</v>
      </c>
      <c r="AA20" s="28">
        <v>38824924</v>
      </c>
      <c r="AB20" s="12">
        <f t="shared" si="3"/>
        <v>0.16606949906714563</v>
      </c>
      <c r="AC20" s="28">
        <v>34135331</v>
      </c>
      <c r="AD20" s="28">
        <f>SUM('FY 2008 Rev 01-15-10'!F20:H20)</f>
        <v>6752127.9000000004</v>
      </c>
      <c r="AE20" s="28">
        <v>39510792</v>
      </c>
      <c r="AF20" s="12">
        <f t="shared" si="4"/>
        <v>0.17089325620200174</v>
      </c>
    </row>
    <row r="21" spans="1:32" ht="15.75" customHeight="1">
      <c r="A21" s="123" t="s">
        <v>4</v>
      </c>
      <c r="B21" s="123"/>
      <c r="C21" s="107">
        <f t="shared" si="10"/>
        <v>3669367</v>
      </c>
      <c r="D21" s="107">
        <f t="shared" si="11"/>
        <v>1019785</v>
      </c>
      <c r="E21" s="106">
        <f t="shared" si="0"/>
        <v>0.2779185074700895</v>
      </c>
      <c r="F21" s="108">
        <f t="shared" si="1"/>
        <v>102443.25</v>
      </c>
      <c r="G21" s="27">
        <f t="shared" si="12"/>
        <v>917341.75</v>
      </c>
      <c r="H21" s="27">
        <f t="shared" si="2"/>
        <v>2649582</v>
      </c>
      <c r="I21" s="10">
        <v>0.25</v>
      </c>
      <c r="J21" s="21" t="str">
        <f t="shared" si="5"/>
        <v>Fines</v>
      </c>
      <c r="K21" s="83">
        <v>3669367</v>
      </c>
      <c r="L21" s="83">
        <v>1019785</v>
      </c>
      <c r="M21" s="41">
        <f t="shared" si="6"/>
        <v>0.2779185074700895</v>
      </c>
      <c r="N21" s="83">
        <v>3622500</v>
      </c>
      <c r="O21" s="83">
        <v>543219</v>
      </c>
      <c r="P21" s="41">
        <f t="shared" si="7"/>
        <v>0.14995693581780539</v>
      </c>
      <c r="Q21" s="83">
        <v>3814000</v>
      </c>
      <c r="R21" s="83">
        <v>671735</v>
      </c>
      <c r="S21" s="83">
        <v>3811745</v>
      </c>
      <c r="T21" s="41">
        <f t="shared" si="8"/>
        <v>0.17622768574498032</v>
      </c>
      <c r="U21" s="16">
        <v>4596375</v>
      </c>
      <c r="V21" s="28">
        <v>903594.67</v>
      </c>
      <c r="W21" s="28">
        <v>3846674</v>
      </c>
      <c r="X21" s="12">
        <f t="shared" si="9"/>
        <v>0.2349028459391152</v>
      </c>
      <c r="Y21" s="28">
        <f>'FY 2009 Rev 01-15-10'!E23</f>
        <v>4675500</v>
      </c>
      <c r="Z21" s="28">
        <f>SUM('FY 2009 Rev 01-15-10'!F23:H23)</f>
        <v>1025229.77</v>
      </c>
      <c r="AA21" s="28">
        <v>4484058</v>
      </c>
      <c r="AB21" s="12">
        <f t="shared" si="3"/>
        <v>0.22863882893575418</v>
      </c>
      <c r="AC21" s="28">
        <v>5009825</v>
      </c>
      <c r="AD21" s="28">
        <f>SUM('FY 2008 Rev 01-15-10'!F22:H22)</f>
        <v>794655.49</v>
      </c>
      <c r="AE21" s="28">
        <v>5028906</v>
      </c>
      <c r="AF21" s="12">
        <f t="shared" si="4"/>
        <v>0.15801756684256973</v>
      </c>
    </row>
    <row r="22" spans="1:32" ht="15.75" customHeight="1">
      <c r="A22" s="123" t="s">
        <v>3</v>
      </c>
      <c r="B22" s="123"/>
      <c r="C22" s="107">
        <f t="shared" si="10"/>
        <v>2994718</v>
      </c>
      <c r="D22" s="107">
        <f t="shared" si="11"/>
        <v>534079</v>
      </c>
      <c r="E22" s="106">
        <f t="shared" si="0"/>
        <v>0.17834033120981674</v>
      </c>
      <c r="F22" s="108">
        <f t="shared" si="1"/>
        <v>-214600.5</v>
      </c>
      <c r="G22" s="26">
        <f t="shared" si="12"/>
        <v>748679.5</v>
      </c>
      <c r="H22" s="27">
        <f t="shared" si="2"/>
        <v>2460639</v>
      </c>
      <c r="I22" s="10">
        <v>0.25</v>
      </c>
      <c r="J22" s="21" t="str">
        <f t="shared" si="5"/>
        <v>Investment Revenue</v>
      </c>
      <c r="K22" s="83">
        <v>2994718</v>
      </c>
      <c r="L22" s="83">
        <f>128468+405611</f>
        <v>534079</v>
      </c>
      <c r="M22" s="41">
        <f t="shared" si="6"/>
        <v>0.17834033120981674</v>
      </c>
      <c r="N22" s="83">
        <v>3963042</v>
      </c>
      <c r="O22" s="83">
        <v>1182413</v>
      </c>
      <c r="P22" s="41">
        <f t="shared" si="7"/>
        <v>0.29835994672779143</v>
      </c>
      <c r="Q22" s="83">
        <v>3023647</v>
      </c>
      <c r="R22" s="83">
        <f>876216+484108</f>
        <v>1360324</v>
      </c>
      <c r="S22" s="83">
        <v>4280332</v>
      </c>
      <c r="T22" s="41">
        <f t="shared" si="8"/>
        <v>0.31780805787962241</v>
      </c>
      <c r="U22" s="16">
        <v>6218768</v>
      </c>
      <c r="V22" s="28">
        <v>1015713.26</v>
      </c>
      <c r="W22" s="28">
        <v>4363907</v>
      </c>
      <c r="X22" s="12">
        <f t="shared" si="9"/>
        <v>0.23275318653674335</v>
      </c>
      <c r="Y22" s="28">
        <f>'FY 2009 Rev 01-15-10'!E26</f>
        <v>9130674</v>
      </c>
      <c r="Z22" s="28">
        <f>SUM('FY 2009 Rev 01-15-10'!F26:H26)</f>
        <v>2446394.8199999998</v>
      </c>
      <c r="AA22" s="28">
        <v>6645972</v>
      </c>
      <c r="AB22" s="12">
        <f t="shared" si="3"/>
        <v>0.36810188487101658</v>
      </c>
      <c r="AC22" s="28">
        <v>13003197</v>
      </c>
      <c r="AD22" s="28">
        <f>SUM('FY 2008 Rev 01-15-10'!F25:H25)</f>
        <v>4470038.26</v>
      </c>
      <c r="AE22" s="28">
        <v>12385827</v>
      </c>
      <c r="AF22" s="12">
        <f t="shared" si="4"/>
        <v>0.36089945871196166</v>
      </c>
    </row>
    <row r="23" spans="1:32" ht="15.75" customHeight="1" thickBot="1">
      <c r="A23" s="123" t="s">
        <v>27</v>
      </c>
      <c r="B23" s="123"/>
      <c r="C23" s="107">
        <f t="shared" si="10"/>
        <v>22230295</v>
      </c>
      <c r="D23" s="107">
        <f t="shared" si="11"/>
        <v>12152217</v>
      </c>
      <c r="E23" s="106">
        <f t="shared" si="0"/>
        <v>0.54665118029247928</v>
      </c>
      <c r="F23" s="108">
        <f t="shared" si="1"/>
        <v>6594643.25</v>
      </c>
      <c r="G23" s="27">
        <f t="shared" si="12"/>
        <v>5557573.75</v>
      </c>
      <c r="H23" s="27">
        <f t="shared" si="2"/>
        <v>10078078</v>
      </c>
      <c r="I23" s="10">
        <v>0.25</v>
      </c>
      <c r="J23" s="21" t="str">
        <f t="shared" si="5"/>
        <v>Miscellaneous</v>
      </c>
      <c r="K23" s="84">
        <f>21024295+876000+330000</f>
        <v>22230295</v>
      </c>
      <c r="L23" s="84">
        <f>623897+214294+4575225+5481+27975+480595+33602+24356+6154161+12631</f>
        <v>12152217</v>
      </c>
      <c r="M23" s="38">
        <f t="shared" si="6"/>
        <v>0.54665118029247928</v>
      </c>
      <c r="N23" s="84">
        <f>18907985+895500+9085000</f>
        <v>28888485</v>
      </c>
      <c r="O23" s="84">
        <f>223816+9141215+17483280</f>
        <v>26848311</v>
      </c>
      <c r="P23" s="38">
        <f t="shared" si="7"/>
        <v>0.92937760495228461</v>
      </c>
      <c r="Q23" s="84">
        <f>19311594+880940+9605000+10000</f>
        <v>29807534</v>
      </c>
      <c r="R23" s="84">
        <f>694341+336542+949541+7476+294469+48000+11178+25420561+3259200</f>
        <v>31021308</v>
      </c>
      <c r="S23" s="84">
        <f>23895082+1539427+37182911</f>
        <v>62617420</v>
      </c>
      <c r="T23" s="38">
        <f t="shared" si="8"/>
        <v>0.49541019096602829</v>
      </c>
      <c r="U23" s="32">
        <f>19563765+980361+9265036</f>
        <v>29809162</v>
      </c>
      <c r="V23" s="33">
        <v>1952153.95</v>
      </c>
      <c r="W23" s="33">
        <f>23433323+1210790+10505556</f>
        <v>35149669</v>
      </c>
      <c r="X23" s="38">
        <f t="shared" si="9"/>
        <v>5.5538330958393944E-2</v>
      </c>
      <c r="Y23" s="33">
        <f>'FY 2009 Rev 01-15-10'!E30+'FY 2009 Rev 01-15-10'!E36+'FY 2009 Rev 01-15-10'!E43</f>
        <v>27526735</v>
      </c>
      <c r="Z23" s="33">
        <f>SUM('FY 2009 Rev 01-15-10'!F30:H30,'FY 2009 Rev 01-15-10'!F36:H36,'FY 2009 Rev 01-15-10'!F43:H43)</f>
        <v>4489312.3899999997</v>
      </c>
      <c r="AA23" s="33">
        <f>21039243+2205778+66559129</f>
        <v>89804150</v>
      </c>
      <c r="AB23" s="38">
        <f t="shared" si="3"/>
        <v>4.9990032643257576E-2</v>
      </c>
      <c r="AC23" s="33">
        <f>16681375+864500+9409162</f>
        <v>26955037</v>
      </c>
      <c r="AD23" s="33">
        <f>SUM('FY 2008 Rev 01-15-10'!F29:H29,'FY 2008 Rev 01-15-10'!F35:H35,'FY 2008 Rev 01-15-10'!F41:H41)</f>
        <v>3588866.6100000003</v>
      </c>
      <c r="AE23" s="33">
        <f>21802800+2598162+31796434</f>
        <v>56197396</v>
      </c>
      <c r="AF23" s="38">
        <f t="shared" si="4"/>
        <v>6.3861795482481082E-2</v>
      </c>
    </row>
    <row r="24" spans="1:32" ht="15.75" customHeight="1" thickBot="1">
      <c r="A24" s="124" t="s">
        <v>28</v>
      </c>
      <c r="B24" s="124"/>
      <c r="C24" s="112">
        <f>SUM(C17:C23)</f>
        <v>260735775</v>
      </c>
      <c r="D24" s="112">
        <f>SUM(D17:D23)</f>
        <v>126557740</v>
      </c>
      <c r="E24" s="106">
        <f t="shared" si="0"/>
        <v>0.48538694009289673</v>
      </c>
      <c r="F24" s="116">
        <f>SUM(F17:F23)</f>
        <v>61373796.25</v>
      </c>
      <c r="G24" s="27">
        <f t="shared" si="12"/>
        <v>65183943.75</v>
      </c>
      <c r="H24" s="27"/>
      <c r="J24" s="21"/>
      <c r="K24" s="85">
        <f>SUM(K17:K23)</f>
        <v>260735775</v>
      </c>
      <c r="L24" s="85">
        <f>SUM(L17:L23)</f>
        <v>126557740</v>
      </c>
      <c r="M24" s="39">
        <f>(L24/K24)</f>
        <v>0.48538694009289673</v>
      </c>
      <c r="N24" s="85">
        <f>SUM(N17:N23)</f>
        <v>259331135</v>
      </c>
      <c r="O24" s="85">
        <f>SUM(O17:O23)</f>
        <v>115800663</v>
      </c>
      <c r="P24" s="39">
        <f>(O24/N24)</f>
        <v>0.44653590476130062</v>
      </c>
      <c r="Q24" s="85">
        <f>SUM(Q17:Q23)</f>
        <v>256867802</v>
      </c>
      <c r="R24" s="85">
        <f>SUM(R17:R23)</f>
        <v>142375171</v>
      </c>
      <c r="S24" s="85">
        <f>SUM(S17:S23)</f>
        <v>302331838</v>
      </c>
      <c r="T24" s="39">
        <f t="shared" si="8"/>
        <v>0.4709235121972169</v>
      </c>
      <c r="U24" s="31">
        <f>SUM(U17:U23)</f>
        <v>268005449</v>
      </c>
      <c r="V24" s="31">
        <f>SUM(V17:V23)</f>
        <v>108218494.06000002</v>
      </c>
      <c r="W24" s="31">
        <f>SUM(W17:W23)</f>
        <v>274421397</v>
      </c>
      <c r="X24" s="39">
        <f t="shared" si="9"/>
        <v>0.39435151647449712</v>
      </c>
      <c r="Y24" s="31">
        <f>SUM(Y17:Y23)</f>
        <v>263954864</v>
      </c>
      <c r="Z24" s="31">
        <f>SUM(Z17:Z23)</f>
        <v>97316673.649999976</v>
      </c>
      <c r="AA24" s="31">
        <f>SUM(AA17:AA23)</f>
        <v>333117823.13999999</v>
      </c>
      <c r="AB24" s="39">
        <f t="shared" si="3"/>
        <v>0.29213889768095819</v>
      </c>
      <c r="AC24" s="31">
        <f>SUM(AC17:AC23)</f>
        <v>265347741</v>
      </c>
      <c r="AD24" s="31">
        <f>SUM(AD17:AD23)</f>
        <v>96776045.670000002</v>
      </c>
      <c r="AE24" s="31">
        <f>SUM(AE17:AE23)</f>
        <v>299184015</v>
      </c>
      <c r="AF24" s="39">
        <f t="shared" si="4"/>
        <v>0.32346663196561487</v>
      </c>
    </row>
    <row r="25" spans="1:32" ht="22.5" customHeight="1" thickTop="1">
      <c r="A25" s="103"/>
      <c r="B25" s="103"/>
      <c r="C25" s="103"/>
      <c r="D25" s="103"/>
      <c r="E25" s="103"/>
      <c r="F25" s="103"/>
      <c r="J25" s="21"/>
      <c r="K25" s="21"/>
      <c r="L25" s="21"/>
      <c r="M25" s="21"/>
      <c r="N25" s="26"/>
    </row>
    <row r="26" spans="1:32" ht="15.75">
      <c r="A26" s="103"/>
      <c r="B26" s="103"/>
      <c r="C26" s="103"/>
      <c r="D26" s="103"/>
      <c r="E26" s="103"/>
      <c r="F26" s="103"/>
      <c r="J26" s="21"/>
      <c r="K26" s="21"/>
      <c r="L26" s="21"/>
      <c r="M26" s="21"/>
      <c r="N26" s="26"/>
    </row>
    <row r="27" spans="1:32" ht="15.75">
      <c r="A27" s="103"/>
      <c r="B27" s="103"/>
      <c r="C27" s="103"/>
      <c r="D27" s="103"/>
      <c r="E27" s="103"/>
      <c r="F27" s="103"/>
    </row>
    <row r="28" spans="1:32" ht="15.75">
      <c r="A28" s="103"/>
      <c r="B28" s="103"/>
      <c r="C28" s="103"/>
      <c r="D28" s="103"/>
      <c r="E28" s="103"/>
      <c r="F28" s="103"/>
    </row>
    <row r="29" spans="1:32" ht="15.75">
      <c r="A29" s="103"/>
      <c r="B29" s="103"/>
      <c r="C29" s="103"/>
      <c r="D29" s="103"/>
      <c r="E29" s="103"/>
      <c r="F29" s="103"/>
      <c r="L29" s="92"/>
    </row>
    <row r="30" spans="1:32" ht="15.75">
      <c r="A30" s="103"/>
      <c r="B30" s="103"/>
      <c r="C30" s="103"/>
      <c r="D30" s="103"/>
      <c r="E30" s="103"/>
      <c r="F30" s="103"/>
    </row>
    <row r="31" spans="1:32" ht="15.75">
      <c r="A31" s="103"/>
      <c r="B31" s="103"/>
      <c r="C31" s="103"/>
      <c r="D31" s="103"/>
      <c r="E31" s="103"/>
      <c r="F31" s="103"/>
    </row>
    <row r="32" spans="1:32" ht="15.75">
      <c r="A32" s="103"/>
      <c r="B32" s="103"/>
      <c r="C32" s="103"/>
      <c r="D32" s="103"/>
      <c r="E32" s="103"/>
      <c r="F32" s="103"/>
    </row>
    <row r="33" spans="1:37" ht="15.75">
      <c r="A33" s="103"/>
      <c r="B33" s="103"/>
      <c r="C33" s="103"/>
      <c r="D33" s="103"/>
      <c r="E33" s="103"/>
      <c r="F33" s="103"/>
    </row>
    <row r="34" spans="1:37" ht="15.75">
      <c r="A34" s="103"/>
      <c r="B34" s="103"/>
      <c r="C34" s="103"/>
      <c r="D34" s="103"/>
      <c r="E34" s="103"/>
      <c r="F34" s="103"/>
    </row>
    <row r="35" spans="1:37" ht="15.75">
      <c r="A35" s="103"/>
      <c r="B35" s="103"/>
      <c r="C35" s="103"/>
      <c r="D35" s="103"/>
      <c r="E35" s="103"/>
      <c r="F35" s="103"/>
    </row>
    <row r="36" spans="1:37" ht="15.75">
      <c r="A36" s="103"/>
      <c r="B36" s="103"/>
      <c r="C36" s="103"/>
      <c r="D36" s="103"/>
      <c r="E36" s="103"/>
      <c r="F36" s="103"/>
    </row>
    <row r="37" spans="1:37" ht="15.75">
      <c r="A37" s="103"/>
      <c r="B37" s="103"/>
      <c r="C37" s="103"/>
      <c r="D37" s="103"/>
      <c r="E37" s="103"/>
      <c r="F37" s="103"/>
    </row>
    <row r="38" spans="1:37" ht="15.75">
      <c r="A38" s="103"/>
      <c r="B38" s="103"/>
      <c r="C38" s="103"/>
      <c r="D38" s="103"/>
      <c r="E38" s="103"/>
      <c r="F38" s="103"/>
    </row>
    <row r="39" spans="1:37" ht="15.75">
      <c r="A39" s="103"/>
      <c r="B39" s="103"/>
      <c r="C39" s="103"/>
      <c r="D39" s="103"/>
      <c r="E39" s="103"/>
      <c r="F39" s="103"/>
    </row>
    <row r="40" spans="1:37" ht="15.75">
      <c r="A40" s="103"/>
      <c r="B40" s="103"/>
      <c r="C40" s="103"/>
      <c r="D40" s="103"/>
      <c r="E40" s="103"/>
      <c r="F40" s="103"/>
      <c r="J40" s="35"/>
      <c r="K40" s="35"/>
      <c r="L40" s="35"/>
      <c r="M40" s="35"/>
      <c r="N40" s="35"/>
    </row>
    <row r="41" spans="1:37" ht="15.75">
      <c r="A41" s="103"/>
      <c r="B41" s="103"/>
      <c r="C41" s="103"/>
      <c r="D41" s="103"/>
      <c r="E41" s="103"/>
      <c r="F41" s="103"/>
      <c r="J41" s="35"/>
      <c r="K41" s="35"/>
      <c r="L41" s="35"/>
      <c r="M41" s="35"/>
      <c r="N41" s="35"/>
    </row>
    <row r="42" spans="1:37" ht="15.75">
      <c r="A42" s="103"/>
      <c r="B42" s="103"/>
      <c r="C42" s="103"/>
      <c r="D42" s="103"/>
      <c r="E42" s="103"/>
      <c r="F42" s="103"/>
      <c r="J42" s="35"/>
      <c r="K42" s="35"/>
      <c r="L42" s="35"/>
      <c r="M42" s="35"/>
      <c r="N42" s="35"/>
    </row>
    <row r="43" spans="1:37" ht="15.75">
      <c r="A43" s="103"/>
      <c r="B43" s="103"/>
      <c r="C43" s="103"/>
      <c r="D43" s="103"/>
      <c r="E43" s="103"/>
      <c r="F43" s="103"/>
      <c r="J43" s="35"/>
      <c r="K43" s="35"/>
      <c r="L43" s="35"/>
      <c r="M43" s="35"/>
      <c r="N43" s="35"/>
    </row>
    <row r="44" spans="1:37" ht="15.75">
      <c r="A44" s="103"/>
      <c r="B44" s="103"/>
      <c r="C44" s="103"/>
      <c r="D44" s="103"/>
      <c r="E44" s="103"/>
      <c r="F44" s="103"/>
      <c r="J44" s="35"/>
      <c r="K44" s="35"/>
      <c r="L44" s="35"/>
      <c r="M44" s="35"/>
      <c r="N44" s="35"/>
    </row>
    <row r="45" spans="1:37" ht="15.75">
      <c r="A45" s="103"/>
      <c r="B45" s="103"/>
      <c r="C45" s="103"/>
      <c r="D45" s="103"/>
      <c r="E45" s="103"/>
      <c r="F45" s="103"/>
      <c r="J45" s="35"/>
      <c r="K45" s="35"/>
      <c r="L45" s="35"/>
      <c r="M45" s="35"/>
      <c r="N45" s="35"/>
    </row>
    <row r="46" spans="1:37" ht="33" customHeight="1">
      <c r="A46" s="130" t="s">
        <v>173</v>
      </c>
      <c r="B46" s="130"/>
      <c r="C46" s="130"/>
      <c r="D46" s="130"/>
      <c r="E46" s="130"/>
      <c r="F46" s="130"/>
      <c r="J46" s="35"/>
      <c r="K46" s="35"/>
      <c r="L46" s="35"/>
      <c r="M46" s="35"/>
      <c r="N46" s="35"/>
    </row>
    <row r="47" spans="1:37" ht="6.75" customHeight="1">
      <c r="A47" s="103"/>
      <c r="B47" s="101"/>
      <c r="C47" s="101"/>
      <c r="D47" s="101"/>
      <c r="E47" s="101"/>
      <c r="F47" s="103"/>
      <c r="J47" s="35"/>
      <c r="K47" s="35"/>
      <c r="L47" s="35"/>
      <c r="M47" s="35"/>
      <c r="N47" s="35"/>
    </row>
    <row r="48" spans="1:37" ht="36" customHeight="1">
      <c r="A48" s="126"/>
      <c r="B48" s="126"/>
      <c r="C48" s="109" t="s">
        <v>238</v>
      </c>
      <c r="D48" s="109" t="s">
        <v>243</v>
      </c>
      <c r="E48" s="109" t="s">
        <v>25</v>
      </c>
      <c r="F48" s="105" t="s">
        <v>240</v>
      </c>
      <c r="G48" s="10">
        <v>0.25</v>
      </c>
      <c r="H48" s="2" t="s">
        <v>43</v>
      </c>
      <c r="K48" s="40" t="s">
        <v>238</v>
      </c>
      <c r="L48" s="36" t="s">
        <v>242</v>
      </c>
      <c r="M48" s="37">
        <v>2013</v>
      </c>
      <c r="N48" s="40" t="s">
        <v>196</v>
      </c>
      <c r="O48" s="36" t="s">
        <v>202</v>
      </c>
      <c r="P48" s="37">
        <v>2012</v>
      </c>
      <c r="Q48" s="36" t="s">
        <v>201</v>
      </c>
      <c r="R48" s="40" t="s">
        <v>151</v>
      </c>
      <c r="S48" s="36" t="s">
        <v>203</v>
      </c>
      <c r="T48" s="37">
        <v>2011</v>
      </c>
      <c r="U48" s="36" t="s">
        <v>156</v>
      </c>
      <c r="V48" s="40" t="s">
        <v>94</v>
      </c>
      <c r="W48" s="36" t="s">
        <v>204</v>
      </c>
      <c r="X48" s="37">
        <v>2010</v>
      </c>
      <c r="Y48" s="36" t="s">
        <v>109</v>
      </c>
      <c r="Z48" s="36" t="s">
        <v>1</v>
      </c>
      <c r="AA48" s="36" t="s">
        <v>110</v>
      </c>
      <c r="AB48" s="37">
        <v>2009</v>
      </c>
      <c r="AC48" s="36" t="s">
        <v>111</v>
      </c>
      <c r="AD48" s="36">
        <v>2009</v>
      </c>
      <c r="AE48" s="36" t="s">
        <v>112</v>
      </c>
      <c r="AF48" s="36" t="s">
        <v>104</v>
      </c>
      <c r="AG48" s="36" t="s">
        <v>113</v>
      </c>
      <c r="AH48" s="37">
        <v>2008</v>
      </c>
      <c r="AI48" s="36" t="s">
        <v>114</v>
      </c>
      <c r="AJ48" s="36">
        <v>2008</v>
      </c>
      <c r="AK48" s="36" t="s">
        <v>115</v>
      </c>
    </row>
    <row r="49" spans="1:37" ht="15.75" customHeight="1">
      <c r="A49" s="119" t="s">
        <v>29</v>
      </c>
      <c r="B49" s="120"/>
      <c r="C49" s="111">
        <f>K49</f>
        <v>306822</v>
      </c>
      <c r="D49" s="112">
        <f>L49</f>
        <v>71918</v>
      </c>
      <c r="E49" s="106">
        <f t="shared" ref="E49:E62" si="13">(D49/C49)</f>
        <v>0.23439649047330374</v>
      </c>
      <c r="F49" s="113">
        <f>+G49-D49</f>
        <v>4787.5</v>
      </c>
      <c r="G49" s="23">
        <f>C49*0.25</f>
        <v>76705.5</v>
      </c>
      <c r="H49" s="24">
        <f t="shared" ref="H49:H61" si="14">C49-D49</f>
        <v>234904</v>
      </c>
      <c r="I49" s="1">
        <v>0.25</v>
      </c>
      <c r="J49" s="35" t="s">
        <v>29</v>
      </c>
      <c r="K49" s="13">
        <v>306822</v>
      </c>
      <c r="L49" s="82">
        <v>71918</v>
      </c>
      <c r="M49" s="41">
        <f t="shared" ref="M49:M62" si="15">(L49/K49)</f>
        <v>0.23439649047330374</v>
      </c>
      <c r="N49" s="13">
        <v>304283</v>
      </c>
      <c r="O49" s="82">
        <v>70132</v>
      </c>
      <c r="P49" s="41">
        <f t="shared" ref="P49:P62" si="16">(O49/N49)</f>
        <v>0.23048280712363162</v>
      </c>
      <c r="Q49" s="13">
        <f>N49-O49</f>
        <v>234151</v>
      </c>
      <c r="R49" s="13">
        <v>359430</v>
      </c>
      <c r="S49" s="82">
        <v>56380</v>
      </c>
      <c r="T49" s="41">
        <f t="shared" ref="T49:T62" si="17">(S49/R49)</f>
        <v>0.15685947194168545</v>
      </c>
      <c r="U49" s="13">
        <f>R49-S49</f>
        <v>303050</v>
      </c>
      <c r="V49" s="13">
        <v>346531</v>
      </c>
      <c r="W49" s="13">
        <v>61980.31</v>
      </c>
      <c r="X49" s="41">
        <f t="shared" ref="X49:X62" si="18">(W49/V49)</f>
        <v>0.17885935168859352</v>
      </c>
      <c r="Y49" s="13">
        <f>V49-W49</f>
        <v>284550.69</v>
      </c>
      <c r="Z49" s="13">
        <f>'FY 2009 Exp 01-15-10'!C2</f>
        <v>351630</v>
      </c>
      <c r="AA49" s="13">
        <f>SUM('FY 2009 Exp 01-15-10'!F2:H2)</f>
        <v>65480.17</v>
      </c>
      <c r="AB49" s="41">
        <f>AA49/Z49</f>
        <v>0.18621895173904388</v>
      </c>
      <c r="AC49" s="13">
        <f>'FY 2009 Exp 01-15-10'!D2</f>
        <v>525313</v>
      </c>
      <c r="AD49" s="41">
        <f>AA49/AC49</f>
        <v>0.12464981829880471</v>
      </c>
      <c r="AE49" s="13">
        <f>Z49-AA49</f>
        <v>286149.83</v>
      </c>
      <c r="AF49" s="13">
        <f>'FY 2008 Exp 01-15-10'!C2</f>
        <v>370277</v>
      </c>
      <c r="AG49" s="13">
        <f>SUM('FY 2008 Exp 01-15-10'!F2:H2)</f>
        <v>52360.36</v>
      </c>
      <c r="AH49" s="41">
        <f>AG49/AF49</f>
        <v>0.14140862111338268</v>
      </c>
      <c r="AI49" s="13">
        <f>'FY 2008 Exp 01-15-10'!D2</f>
        <v>727556</v>
      </c>
      <c r="AJ49" s="41">
        <f>AG49/AI49</f>
        <v>7.1967463672899412E-2</v>
      </c>
      <c r="AK49" s="13">
        <f>AF49-AG49</f>
        <v>317916.64</v>
      </c>
    </row>
    <row r="50" spans="1:37" ht="15.75" customHeight="1">
      <c r="A50" s="119" t="s">
        <v>116</v>
      </c>
      <c r="B50" s="120"/>
      <c r="C50" s="110">
        <f>K50</f>
        <v>868091</v>
      </c>
      <c r="D50" s="110">
        <f>L50</f>
        <v>135375</v>
      </c>
      <c r="E50" s="106">
        <f t="shared" si="13"/>
        <v>0.15594563242793671</v>
      </c>
      <c r="F50" s="108">
        <f t="shared" ref="F50:F62" si="19">+G50-D50</f>
        <v>81647.75</v>
      </c>
      <c r="G50" s="25">
        <f t="shared" ref="G50:G62" si="20">C50*0.25</f>
        <v>217022.75</v>
      </c>
      <c r="H50" s="25">
        <f t="shared" si="14"/>
        <v>732716</v>
      </c>
      <c r="I50" s="1">
        <v>0.25</v>
      </c>
      <c r="J50" s="35" t="s">
        <v>116</v>
      </c>
      <c r="K50" s="83">
        <v>868091</v>
      </c>
      <c r="L50" s="86">
        <v>135375</v>
      </c>
      <c r="M50" s="41">
        <f t="shared" si="15"/>
        <v>0.15594563242793671</v>
      </c>
      <c r="N50" s="83">
        <v>1166679</v>
      </c>
      <c r="O50" s="86">
        <v>215672</v>
      </c>
      <c r="P50" s="41">
        <f t="shared" si="16"/>
        <v>0.18485976005396515</v>
      </c>
      <c r="Q50" s="42">
        <f t="shared" ref="Q50:Q61" si="21">N50-O50</f>
        <v>951007</v>
      </c>
      <c r="R50" s="83">
        <v>1134812</v>
      </c>
      <c r="S50" s="86">
        <v>384668</v>
      </c>
      <c r="T50" s="41">
        <f t="shared" si="17"/>
        <v>0.33897068413093973</v>
      </c>
      <c r="U50" s="42">
        <f t="shared" ref="U50:U61" si="22">R50-S50</f>
        <v>750144</v>
      </c>
      <c r="V50" s="42">
        <v>1078918</v>
      </c>
      <c r="W50" s="42">
        <v>525135.30000000005</v>
      </c>
      <c r="X50" s="41">
        <f t="shared" si="18"/>
        <v>0.48672401424389994</v>
      </c>
      <c r="Y50" s="42">
        <f t="shared" ref="Y50:Y61" si="23">V50-W50</f>
        <v>553782.69999999995</v>
      </c>
      <c r="Z50" s="42">
        <f>'FY 2009 Exp 01-15-10'!C3</f>
        <v>1209220</v>
      </c>
      <c r="AA50" s="42">
        <f>SUM('FY 2009 Exp 01-15-10'!F3:H3)</f>
        <v>318959.70999999996</v>
      </c>
      <c r="AB50" s="41">
        <f t="shared" ref="AB50:AB62" si="24">AA50/Z50</f>
        <v>0.26377310166884432</v>
      </c>
      <c r="AC50" s="42">
        <f>'FY 2009 Exp 01-15-10'!D3</f>
        <v>1275791</v>
      </c>
      <c r="AD50" s="41">
        <f t="shared" ref="AD50:AD62" si="25">AA50/AC50</f>
        <v>0.25000937457624328</v>
      </c>
      <c r="AE50" s="42">
        <f t="shared" ref="AE50:AE61" si="26">Z50-AA50</f>
        <v>890260.29</v>
      </c>
      <c r="AF50" s="42">
        <f>'FY 2008 Exp 01-15-10'!C3</f>
        <v>1199159</v>
      </c>
      <c r="AG50" s="42">
        <f>SUM('FY 2008 Exp 01-15-10'!F3:H3)</f>
        <v>426238.22</v>
      </c>
      <c r="AH50" s="41">
        <f t="shared" ref="AH50:AH62" si="27">AG50/AF50</f>
        <v>0.35544762621136977</v>
      </c>
      <c r="AI50" s="42">
        <f>'FY 2008 Exp 01-15-10'!D3</f>
        <v>1238216</v>
      </c>
      <c r="AJ50" s="41">
        <f t="shared" ref="AJ50:AJ62" si="28">AG50/AI50</f>
        <v>0.34423575531248179</v>
      </c>
      <c r="AK50" s="13">
        <f t="shared" ref="AK50:AK61" si="29">AF50-AG50</f>
        <v>772920.78</v>
      </c>
    </row>
    <row r="51" spans="1:37" ht="15.75" customHeight="1">
      <c r="A51" s="119" t="s">
        <v>131</v>
      </c>
      <c r="B51" s="120"/>
      <c r="C51" s="110">
        <f t="shared" ref="C51:C61" si="30">K51</f>
        <v>44841468</v>
      </c>
      <c r="D51" s="110">
        <f t="shared" ref="D51:D61" si="31">L51</f>
        <v>1000</v>
      </c>
      <c r="E51" s="106">
        <f t="shared" si="13"/>
        <v>2.2300786406011508E-5</v>
      </c>
      <c r="F51" s="108">
        <f t="shared" si="19"/>
        <v>11209367</v>
      </c>
      <c r="G51" s="25">
        <f t="shared" si="20"/>
        <v>11210367</v>
      </c>
      <c r="H51" s="25">
        <f t="shared" si="14"/>
        <v>44840468</v>
      </c>
      <c r="I51" s="1">
        <v>0.25</v>
      </c>
      <c r="J51" s="35" t="s">
        <v>131</v>
      </c>
      <c r="K51" s="83">
        <v>44841468</v>
      </c>
      <c r="L51" s="86">
        <v>1000</v>
      </c>
      <c r="M51" s="41">
        <f t="shared" si="15"/>
        <v>2.2300786406011508E-5</v>
      </c>
      <c r="N51" s="83">
        <v>43927702</v>
      </c>
      <c r="O51" s="86">
        <v>1300</v>
      </c>
      <c r="P51" s="41">
        <f t="shared" si="16"/>
        <v>2.9594081657173873E-5</v>
      </c>
      <c r="Q51" s="42">
        <f t="shared" si="21"/>
        <v>43926402</v>
      </c>
      <c r="R51" s="83">
        <v>43487800</v>
      </c>
      <c r="S51" s="86">
        <v>2167233</v>
      </c>
      <c r="T51" s="41">
        <f t="shared" si="17"/>
        <v>4.9835425107731361E-2</v>
      </c>
      <c r="U51" s="42">
        <f t="shared" si="22"/>
        <v>41320567</v>
      </c>
      <c r="V51" s="42">
        <v>43665123</v>
      </c>
      <c r="W51" s="42">
        <v>293550.90000000002</v>
      </c>
      <c r="X51" s="41">
        <f t="shared" si="18"/>
        <v>6.7227773525337375E-3</v>
      </c>
      <c r="Y51" s="42">
        <f t="shared" si="23"/>
        <v>43371572.100000001</v>
      </c>
      <c r="Z51" s="42">
        <f>'FY 2009 Exp 01-15-10'!C4</f>
        <v>42789548</v>
      </c>
      <c r="AA51" s="42">
        <f>SUM('FY 2009 Exp 01-15-10'!F4:H4)</f>
        <v>1000</v>
      </c>
      <c r="AB51" s="41">
        <f t="shared" si="24"/>
        <v>2.3370193113514544E-5</v>
      </c>
      <c r="AC51" s="42">
        <f>'FY 2009 Exp 01-15-10'!D4</f>
        <v>47916306</v>
      </c>
      <c r="AD51" s="41">
        <f t="shared" si="25"/>
        <v>2.0869722302883699E-5</v>
      </c>
      <c r="AE51" s="42">
        <f t="shared" si="26"/>
        <v>42788548</v>
      </c>
      <c r="AF51" s="42">
        <f>'FY 2008 Exp 01-15-10'!C4</f>
        <v>39688692</v>
      </c>
      <c r="AG51" s="42">
        <f>SUM('FY 2008 Exp 01-15-10'!F4:H4)</f>
        <v>300</v>
      </c>
      <c r="AH51" s="41">
        <f t="shared" si="27"/>
        <v>7.5588280913868364E-6</v>
      </c>
      <c r="AI51" s="42">
        <f>'FY 2008 Exp 01-15-10'!D4</f>
        <v>50299627</v>
      </c>
      <c r="AJ51" s="41">
        <f t="shared" si="28"/>
        <v>5.9642589397332909E-6</v>
      </c>
      <c r="AK51" s="13">
        <f t="shared" si="29"/>
        <v>39688392</v>
      </c>
    </row>
    <row r="52" spans="1:37" ht="15.75" customHeight="1">
      <c r="A52" s="119" t="s">
        <v>30</v>
      </c>
      <c r="B52" s="120"/>
      <c r="C52" s="110">
        <f t="shared" si="30"/>
        <v>3847599</v>
      </c>
      <c r="D52" s="110">
        <f t="shared" si="31"/>
        <v>1063391</v>
      </c>
      <c r="E52" s="106">
        <f t="shared" si="13"/>
        <v>0.27637781380024268</v>
      </c>
      <c r="F52" s="108">
        <f t="shared" si="19"/>
        <v>-101491.25</v>
      </c>
      <c r="G52" s="25">
        <f t="shared" si="20"/>
        <v>961899.75</v>
      </c>
      <c r="H52" s="25">
        <f t="shared" si="14"/>
        <v>2784208</v>
      </c>
      <c r="I52" s="1">
        <v>0.25</v>
      </c>
      <c r="J52" s="35" t="s">
        <v>30</v>
      </c>
      <c r="K52" s="83">
        <v>3847599</v>
      </c>
      <c r="L52" s="86">
        <v>1063391</v>
      </c>
      <c r="M52" s="41">
        <f t="shared" si="15"/>
        <v>0.27637781380024268</v>
      </c>
      <c r="N52" s="83">
        <v>3539581</v>
      </c>
      <c r="O52" s="86">
        <v>632824</v>
      </c>
      <c r="P52" s="41">
        <f t="shared" si="16"/>
        <v>0.17878500308369832</v>
      </c>
      <c r="Q52" s="42">
        <f t="shared" si="21"/>
        <v>2906757</v>
      </c>
      <c r="R52" s="83">
        <v>2892101</v>
      </c>
      <c r="S52" s="86">
        <v>409939</v>
      </c>
      <c r="T52" s="41">
        <f t="shared" si="17"/>
        <v>0.14174435816729775</v>
      </c>
      <c r="U52" s="42">
        <f t="shared" si="22"/>
        <v>2482162</v>
      </c>
      <c r="V52" s="42">
        <v>3263326</v>
      </c>
      <c r="W52" s="42">
        <v>526952.73</v>
      </c>
      <c r="X52" s="41">
        <f t="shared" si="18"/>
        <v>0.16147719535222652</v>
      </c>
      <c r="Y52" s="42">
        <f t="shared" si="23"/>
        <v>2736373.27</v>
      </c>
      <c r="Z52" s="42">
        <f>'FY 2009 Exp 01-15-10'!C5</f>
        <v>3360551</v>
      </c>
      <c r="AA52" s="42">
        <f>SUM('FY 2009 Exp 01-15-10'!F5:H5)</f>
        <v>413309.75</v>
      </c>
      <c r="AB52" s="41">
        <f t="shared" si="24"/>
        <v>0.12298868548639791</v>
      </c>
      <c r="AC52" s="42">
        <f>'FY 2009 Exp 01-15-10'!D5</f>
        <v>3318332</v>
      </c>
      <c r="AD52" s="41">
        <f t="shared" si="25"/>
        <v>0.12455346541575707</v>
      </c>
      <c r="AE52" s="42">
        <f t="shared" si="26"/>
        <v>2947241.25</v>
      </c>
      <c r="AF52" s="42">
        <f>'FY 2008 Exp 01-15-10'!C5</f>
        <v>2433415</v>
      </c>
      <c r="AG52" s="42">
        <f>SUM('FY 2008 Exp 01-15-10'!F5:H5)</f>
        <v>459684.51</v>
      </c>
      <c r="AH52" s="41">
        <f t="shared" si="27"/>
        <v>0.1889051024999846</v>
      </c>
      <c r="AI52" s="42">
        <f>'FY 2008 Exp 01-15-10'!D5</f>
        <v>3139760</v>
      </c>
      <c r="AJ52" s="41">
        <f t="shared" si="28"/>
        <v>0.14640753114887761</v>
      </c>
      <c r="AK52" s="13">
        <f t="shared" si="29"/>
        <v>1973730.49</v>
      </c>
    </row>
    <row r="53" spans="1:37" ht="15.75" customHeight="1">
      <c r="A53" s="119" t="s">
        <v>15</v>
      </c>
      <c r="B53" s="120"/>
      <c r="C53" s="110">
        <f t="shared" si="30"/>
        <v>10587235</v>
      </c>
      <c r="D53" s="110">
        <f t="shared" si="31"/>
        <v>2268254</v>
      </c>
      <c r="E53" s="106">
        <f t="shared" si="13"/>
        <v>0.21424422901730245</v>
      </c>
      <c r="F53" s="108">
        <f t="shared" si="19"/>
        <v>378554.75</v>
      </c>
      <c r="G53" s="25">
        <f t="shared" si="20"/>
        <v>2646808.75</v>
      </c>
      <c r="H53" s="25">
        <f t="shared" si="14"/>
        <v>8318981</v>
      </c>
      <c r="I53" s="1">
        <v>0.25</v>
      </c>
      <c r="J53" s="35" t="s">
        <v>15</v>
      </c>
      <c r="K53" s="83">
        <v>10587235</v>
      </c>
      <c r="L53" s="86">
        <v>2268254</v>
      </c>
      <c r="M53" s="41">
        <f t="shared" si="15"/>
        <v>0.21424422901730245</v>
      </c>
      <c r="N53" s="83">
        <v>10245180</v>
      </c>
      <c r="O53" s="86">
        <v>3303438</v>
      </c>
      <c r="P53" s="41">
        <f t="shared" si="16"/>
        <v>0.32243825877144178</v>
      </c>
      <c r="Q53" s="42">
        <f t="shared" si="21"/>
        <v>6941742</v>
      </c>
      <c r="R53" s="83">
        <v>10586321</v>
      </c>
      <c r="S53" s="86">
        <v>1935547</v>
      </c>
      <c r="T53" s="41">
        <f t="shared" si="17"/>
        <v>0.18283471661212616</v>
      </c>
      <c r="U53" s="42">
        <f t="shared" si="22"/>
        <v>8650774</v>
      </c>
      <c r="V53" s="42">
        <v>10604579</v>
      </c>
      <c r="W53" s="42">
        <v>2262421.56</v>
      </c>
      <c r="X53" s="41">
        <f t="shared" si="18"/>
        <v>0.21334383571474172</v>
      </c>
      <c r="Y53" s="42">
        <f t="shared" si="23"/>
        <v>8342157.4399999995</v>
      </c>
      <c r="Z53" s="42">
        <f>'FY 2009 Exp 01-15-10'!C6</f>
        <v>10906229</v>
      </c>
      <c r="AA53" s="42">
        <f>SUM('FY 2009 Exp 01-15-10'!F6:H6)</f>
        <v>1433663.59</v>
      </c>
      <c r="AB53" s="41">
        <f t="shared" si="24"/>
        <v>0.13145364818582114</v>
      </c>
      <c r="AC53" s="42">
        <f>'FY 2009 Exp 01-15-10'!D6</f>
        <v>11732575</v>
      </c>
      <c r="AD53" s="41">
        <f t="shared" si="25"/>
        <v>0.12219513533900274</v>
      </c>
      <c r="AE53" s="42">
        <f t="shared" si="26"/>
        <v>9472565.4100000001</v>
      </c>
      <c r="AF53" s="42">
        <f>'FY 2008 Exp 01-15-10'!C6</f>
        <v>9925189</v>
      </c>
      <c r="AG53" s="42">
        <f>SUM('FY 2008 Exp 01-15-10'!F6:H6)</f>
        <v>1742101.62</v>
      </c>
      <c r="AH53" s="41">
        <f t="shared" si="27"/>
        <v>0.17552326912867858</v>
      </c>
      <c r="AI53" s="42">
        <f>'FY 2008 Exp 01-15-10'!D6</f>
        <v>10236244</v>
      </c>
      <c r="AJ53" s="41">
        <f t="shared" si="28"/>
        <v>0.17018953631820422</v>
      </c>
      <c r="AK53" s="13">
        <f t="shared" si="29"/>
        <v>8183087.3799999999</v>
      </c>
    </row>
    <row r="54" spans="1:37" ht="15.75" customHeight="1">
      <c r="A54" s="119" t="s">
        <v>14</v>
      </c>
      <c r="B54" s="120"/>
      <c r="C54" s="110">
        <f t="shared" si="30"/>
        <v>37241658</v>
      </c>
      <c r="D54" s="110">
        <f t="shared" si="31"/>
        <v>7143783</v>
      </c>
      <c r="E54" s="106">
        <f t="shared" si="13"/>
        <v>0.19182236730706242</v>
      </c>
      <c r="F54" s="108">
        <f t="shared" si="19"/>
        <v>2166631.5</v>
      </c>
      <c r="G54" s="25">
        <f t="shared" si="20"/>
        <v>9310414.5</v>
      </c>
      <c r="H54" s="25">
        <f t="shared" si="14"/>
        <v>30097875</v>
      </c>
      <c r="I54" s="1">
        <v>0.25</v>
      </c>
      <c r="J54" s="35" t="s">
        <v>205</v>
      </c>
      <c r="K54" s="83">
        <v>37241658</v>
      </c>
      <c r="L54" s="86">
        <v>7143783</v>
      </c>
      <c r="M54" s="41">
        <f t="shared" si="15"/>
        <v>0.19182236730706242</v>
      </c>
      <c r="N54" s="83">
        <v>35621648</v>
      </c>
      <c r="O54" s="86">
        <v>8908030</v>
      </c>
      <c r="P54" s="41">
        <f t="shared" si="16"/>
        <v>0.25007349463449868</v>
      </c>
      <c r="Q54" s="42">
        <f t="shared" si="21"/>
        <v>26713618</v>
      </c>
      <c r="R54" s="83">
        <v>41179358</v>
      </c>
      <c r="S54" s="86">
        <v>11519665</v>
      </c>
      <c r="T54" s="41">
        <f t="shared" si="17"/>
        <v>0.27974367643128384</v>
      </c>
      <c r="U54" s="42">
        <f t="shared" si="22"/>
        <v>29659693</v>
      </c>
      <c r="V54" s="42">
        <v>40714461</v>
      </c>
      <c r="W54" s="42">
        <v>9673624.4499999993</v>
      </c>
      <c r="X54" s="41">
        <f t="shared" si="18"/>
        <v>0.23759677059214904</v>
      </c>
      <c r="Y54" s="42">
        <f t="shared" si="23"/>
        <v>31040836.550000001</v>
      </c>
      <c r="Z54" s="42">
        <f>'FY 2009 Exp 01-15-10'!C7</f>
        <v>39128938</v>
      </c>
      <c r="AA54" s="42">
        <f>SUM('FY 2009 Exp 01-15-10'!F7:H7)</f>
        <v>5931448.0800000001</v>
      </c>
      <c r="AB54" s="41">
        <f t="shared" si="24"/>
        <v>0.15158724931404988</v>
      </c>
      <c r="AC54" s="42">
        <f>'FY 2009 Exp 01-15-10'!D7</f>
        <v>41658952</v>
      </c>
      <c r="AD54" s="41">
        <f t="shared" si="25"/>
        <v>0.14238111606840229</v>
      </c>
      <c r="AE54" s="42">
        <f t="shared" si="26"/>
        <v>33197489.920000002</v>
      </c>
      <c r="AF54" s="42">
        <f>'FY 2008 Exp 01-15-10'!C7</f>
        <v>37639150</v>
      </c>
      <c r="AG54" s="42">
        <f>SUM('FY 2008 Exp 01-15-10'!F7:H7)</f>
        <v>4862701.33</v>
      </c>
      <c r="AH54" s="41">
        <f t="shared" si="27"/>
        <v>0.12919264462667196</v>
      </c>
      <c r="AI54" s="42">
        <f>'FY 2008 Exp 01-15-10'!D7</f>
        <v>36096874</v>
      </c>
      <c r="AJ54" s="41">
        <f t="shared" si="28"/>
        <v>0.13471253300216524</v>
      </c>
      <c r="AK54" s="13">
        <f t="shared" si="29"/>
        <v>32776448.670000002</v>
      </c>
    </row>
    <row r="55" spans="1:37" ht="15.75" customHeight="1">
      <c r="A55" s="119" t="s">
        <v>117</v>
      </c>
      <c r="B55" s="120"/>
      <c r="C55" s="110">
        <f t="shared" si="30"/>
        <v>18059452</v>
      </c>
      <c r="D55" s="110">
        <f t="shared" si="31"/>
        <v>4038870</v>
      </c>
      <c r="E55" s="106">
        <f t="shared" si="13"/>
        <v>0.22364299869121168</v>
      </c>
      <c r="F55" s="108">
        <f t="shared" si="19"/>
        <v>475993</v>
      </c>
      <c r="G55" s="25">
        <f t="shared" si="20"/>
        <v>4514863</v>
      </c>
      <c r="H55" s="25">
        <f t="shared" si="14"/>
        <v>14020582</v>
      </c>
      <c r="I55" s="1">
        <v>0.25</v>
      </c>
      <c r="J55" s="35" t="s">
        <v>117</v>
      </c>
      <c r="K55" s="83">
        <v>18059452</v>
      </c>
      <c r="L55" s="86">
        <v>4038870</v>
      </c>
      <c r="M55" s="41">
        <f t="shared" si="15"/>
        <v>0.22364299869121168</v>
      </c>
      <c r="N55" s="83">
        <v>17339921</v>
      </c>
      <c r="O55" s="86">
        <v>3834958</v>
      </c>
      <c r="P55" s="41">
        <f t="shared" si="16"/>
        <v>0.22116352202527337</v>
      </c>
      <c r="Q55" s="42">
        <f t="shared" si="21"/>
        <v>13504963</v>
      </c>
      <c r="R55" s="83">
        <v>19492602</v>
      </c>
      <c r="S55" s="86">
        <v>3407667</v>
      </c>
      <c r="T55" s="41">
        <f t="shared" si="17"/>
        <v>0.17481847728692146</v>
      </c>
      <c r="U55" s="42">
        <f t="shared" si="22"/>
        <v>16084935</v>
      </c>
      <c r="V55" s="42">
        <v>17404071</v>
      </c>
      <c r="W55" s="42">
        <v>3897891.85</v>
      </c>
      <c r="X55" s="41">
        <f t="shared" si="18"/>
        <v>0.22396437304812192</v>
      </c>
      <c r="Y55" s="42">
        <f t="shared" si="23"/>
        <v>13506179.15</v>
      </c>
      <c r="Z55" s="42">
        <f>'FY 2009 Exp 01-15-10'!C8</f>
        <v>17368061</v>
      </c>
      <c r="AA55" s="42">
        <f>SUM('FY 2009 Exp 01-15-10'!F8:H8)</f>
        <v>3636447.43</v>
      </c>
      <c r="AB55" s="41">
        <f t="shared" si="24"/>
        <v>0.20937555608539146</v>
      </c>
      <c r="AC55" s="42">
        <f>'FY 2009 Exp 01-15-10'!D8</f>
        <v>17937753</v>
      </c>
      <c r="AD55" s="41">
        <f t="shared" si="25"/>
        <v>0.20272591723166219</v>
      </c>
      <c r="AE55" s="42">
        <f t="shared" si="26"/>
        <v>13731613.57</v>
      </c>
      <c r="AF55" s="42">
        <f>'FY 2008 Exp 01-15-10'!C8</f>
        <v>17183257</v>
      </c>
      <c r="AG55" s="42">
        <f>SUM('FY 2008 Exp 01-15-10'!F8:H8)</f>
        <v>2418994.64</v>
      </c>
      <c r="AH55" s="41">
        <f t="shared" si="27"/>
        <v>0.14077625912247022</v>
      </c>
      <c r="AI55" s="42">
        <f>'FY 2008 Exp 01-15-10'!D8</f>
        <v>15836617</v>
      </c>
      <c r="AJ55" s="41">
        <f t="shared" si="28"/>
        <v>0.15274693073653295</v>
      </c>
      <c r="AK55" s="13">
        <f t="shared" si="29"/>
        <v>14764262.359999999</v>
      </c>
    </row>
    <row r="56" spans="1:37" ht="15.75" customHeight="1">
      <c r="A56" s="119" t="s">
        <v>31</v>
      </c>
      <c r="B56" s="120"/>
      <c r="C56" s="110">
        <f t="shared" si="30"/>
        <v>17302343</v>
      </c>
      <c r="D56" s="110">
        <f t="shared" si="31"/>
        <v>3592347</v>
      </c>
      <c r="E56" s="106">
        <f t="shared" si="13"/>
        <v>0.20762199662785555</v>
      </c>
      <c r="F56" s="108">
        <f t="shared" si="19"/>
        <v>733238.75</v>
      </c>
      <c r="G56" s="25">
        <f t="shared" si="20"/>
        <v>4325585.75</v>
      </c>
      <c r="H56" s="25">
        <f t="shared" si="14"/>
        <v>13709996</v>
      </c>
      <c r="I56" s="1">
        <v>0.25</v>
      </c>
      <c r="J56" s="35" t="s">
        <v>31</v>
      </c>
      <c r="K56" s="83">
        <v>17302343</v>
      </c>
      <c r="L56" s="86">
        <v>3592347</v>
      </c>
      <c r="M56" s="41">
        <f t="shared" si="15"/>
        <v>0.20762199662785555</v>
      </c>
      <c r="N56" s="83">
        <v>17000798</v>
      </c>
      <c r="O56" s="86">
        <v>5211665</v>
      </c>
      <c r="P56" s="41">
        <f t="shared" si="16"/>
        <v>0.30655413939980936</v>
      </c>
      <c r="Q56" s="42">
        <f t="shared" si="21"/>
        <v>11789133</v>
      </c>
      <c r="R56" s="83">
        <v>17117766</v>
      </c>
      <c r="S56" s="86">
        <v>3285992</v>
      </c>
      <c r="T56" s="41">
        <f t="shared" si="17"/>
        <v>0.19196383453308102</v>
      </c>
      <c r="U56" s="42">
        <f t="shared" si="22"/>
        <v>13831774</v>
      </c>
      <c r="V56" s="42">
        <v>17413314</v>
      </c>
      <c r="W56" s="42">
        <v>3510638.71</v>
      </c>
      <c r="X56" s="41">
        <f t="shared" si="18"/>
        <v>0.20160658160761358</v>
      </c>
      <c r="Y56" s="42">
        <f t="shared" si="23"/>
        <v>13902675.289999999</v>
      </c>
      <c r="Z56" s="42">
        <f>'FY 2009 Exp 01-15-10'!C9</f>
        <v>17278014</v>
      </c>
      <c r="AA56" s="42">
        <f>SUM('FY 2009 Exp 01-15-10'!F9:H9)</f>
        <v>2923154.52</v>
      </c>
      <c r="AB56" s="41">
        <f t="shared" si="24"/>
        <v>0.16918347907346296</v>
      </c>
      <c r="AC56" s="42">
        <f>'FY 2009 Exp 01-15-10'!D9</f>
        <v>17898937</v>
      </c>
      <c r="AD56" s="41">
        <f t="shared" si="25"/>
        <v>0.16331442029211007</v>
      </c>
      <c r="AE56" s="42">
        <f t="shared" si="26"/>
        <v>14354859.48</v>
      </c>
      <c r="AF56" s="42">
        <f>'FY 2008 Exp 01-15-10'!C9</f>
        <v>16892588</v>
      </c>
      <c r="AG56" s="42">
        <f>SUM('FY 2008 Exp 01-15-10'!F9:H9)</f>
        <v>2724007.23</v>
      </c>
      <c r="AH56" s="41">
        <f t="shared" si="27"/>
        <v>0.16125458277914551</v>
      </c>
      <c r="AI56" s="42">
        <f>'FY 2008 Exp 01-15-10'!D9</f>
        <v>17511804</v>
      </c>
      <c r="AJ56" s="41">
        <f t="shared" si="28"/>
        <v>0.15555263352650589</v>
      </c>
      <c r="AK56" s="13">
        <f t="shared" si="29"/>
        <v>14168580.77</v>
      </c>
    </row>
    <row r="57" spans="1:37" ht="15.75" customHeight="1">
      <c r="A57" s="119" t="s">
        <v>32</v>
      </c>
      <c r="B57" s="120"/>
      <c r="C57" s="110">
        <f t="shared" si="30"/>
        <v>10551894</v>
      </c>
      <c r="D57" s="110">
        <f t="shared" si="31"/>
        <v>2246269</v>
      </c>
      <c r="E57" s="106">
        <f t="shared" si="13"/>
        <v>0.21287827569154882</v>
      </c>
      <c r="F57" s="108">
        <f t="shared" si="19"/>
        <v>391704.5</v>
      </c>
      <c r="G57" s="25">
        <f t="shared" si="20"/>
        <v>2637973.5</v>
      </c>
      <c r="H57" s="25">
        <f t="shared" si="14"/>
        <v>8305625</v>
      </c>
      <c r="I57" s="1">
        <v>0.25</v>
      </c>
      <c r="J57" s="35" t="s">
        <v>32</v>
      </c>
      <c r="K57" s="83">
        <v>10551894</v>
      </c>
      <c r="L57" s="86">
        <v>2246269</v>
      </c>
      <c r="M57" s="41">
        <f t="shared" si="15"/>
        <v>0.21287827569154882</v>
      </c>
      <c r="N57" s="83">
        <v>10468040</v>
      </c>
      <c r="O57" s="86">
        <v>3104775</v>
      </c>
      <c r="P57" s="41">
        <f t="shared" si="16"/>
        <v>0.29659563776982129</v>
      </c>
      <c r="Q57" s="42">
        <f t="shared" si="21"/>
        <v>7363265</v>
      </c>
      <c r="R57" s="83">
        <v>10895570</v>
      </c>
      <c r="S57" s="86">
        <v>2195034</v>
      </c>
      <c r="T57" s="41">
        <f t="shared" si="17"/>
        <v>0.20146114429993106</v>
      </c>
      <c r="U57" s="42">
        <f t="shared" si="22"/>
        <v>8700536</v>
      </c>
      <c r="V57" s="42">
        <v>10775827</v>
      </c>
      <c r="W57" s="42">
        <v>2503431.64</v>
      </c>
      <c r="X57" s="41">
        <f t="shared" si="18"/>
        <v>0.23231921225164437</v>
      </c>
      <c r="Y57" s="42">
        <f t="shared" si="23"/>
        <v>8272395.3599999994</v>
      </c>
      <c r="Z57" s="42">
        <f>'FY 2009 Exp 01-15-10'!C10</f>
        <v>10462445</v>
      </c>
      <c r="AA57" s="42">
        <f>SUM('FY 2009 Exp 01-15-10'!F10:H10)</f>
        <v>1834247.1400000001</v>
      </c>
      <c r="AB57" s="41">
        <f t="shared" si="24"/>
        <v>0.17531725519226149</v>
      </c>
      <c r="AC57" s="42">
        <f>'FY 2009 Exp 01-15-10'!D10</f>
        <v>10559987</v>
      </c>
      <c r="AD57" s="41">
        <f t="shared" si="25"/>
        <v>0.17369785966592574</v>
      </c>
      <c r="AE57" s="42">
        <f t="shared" si="26"/>
        <v>8628197.8599999994</v>
      </c>
      <c r="AF57" s="42">
        <f>'FY 2008 Exp 01-15-10'!C10</f>
        <v>10123030</v>
      </c>
      <c r="AG57" s="42">
        <f>SUM('FY 2008 Exp 01-15-10'!F10:H10)</f>
        <v>1715125.08</v>
      </c>
      <c r="AH57" s="41">
        <f t="shared" si="27"/>
        <v>0.16942803488678784</v>
      </c>
      <c r="AI57" s="42">
        <f>'FY 2008 Exp 01-15-10'!D10</f>
        <v>10223818</v>
      </c>
      <c r="AJ57" s="41">
        <f t="shared" si="28"/>
        <v>0.16775778676811345</v>
      </c>
      <c r="AK57" s="13">
        <f t="shared" si="29"/>
        <v>8407904.9199999999</v>
      </c>
    </row>
    <row r="58" spans="1:37" ht="15.75" customHeight="1">
      <c r="A58" s="119" t="s">
        <v>33</v>
      </c>
      <c r="B58" s="120"/>
      <c r="C58" s="110">
        <f t="shared" si="30"/>
        <v>12219036</v>
      </c>
      <c r="D58" s="110">
        <f t="shared" si="31"/>
        <v>3190180</v>
      </c>
      <c r="E58" s="106">
        <f t="shared" si="13"/>
        <v>0.2610827891823872</v>
      </c>
      <c r="F58" s="108">
        <f t="shared" si="19"/>
        <v>-135421</v>
      </c>
      <c r="G58" s="25">
        <f t="shared" si="20"/>
        <v>3054759</v>
      </c>
      <c r="H58" s="25">
        <f t="shared" si="14"/>
        <v>9028856</v>
      </c>
      <c r="I58" s="1">
        <v>0.25</v>
      </c>
      <c r="J58" s="35" t="s">
        <v>33</v>
      </c>
      <c r="K58" s="83">
        <v>12219036</v>
      </c>
      <c r="L58" s="86">
        <v>3190180</v>
      </c>
      <c r="M58" s="41">
        <f t="shared" si="15"/>
        <v>0.2610827891823872</v>
      </c>
      <c r="N58" s="83">
        <v>13924247</v>
      </c>
      <c r="O58" s="86">
        <v>3212480</v>
      </c>
      <c r="P58" s="41">
        <f t="shared" si="16"/>
        <v>0.23071121906987144</v>
      </c>
      <c r="Q58" s="42">
        <f t="shared" si="21"/>
        <v>10711767</v>
      </c>
      <c r="R58" s="83">
        <v>11591817</v>
      </c>
      <c r="S58" s="86">
        <v>9204480</v>
      </c>
      <c r="T58" s="41">
        <f t="shared" si="17"/>
        <v>0.79404980254605473</v>
      </c>
      <c r="U58" s="42">
        <f t="shared" si="22"/>
        <v>2387337</v>
      </c>
      <c r="V58" s="42">
        <v>13414559</v>
      </c>
      <c r="W58" s="42">
        <v>2210312.6</v>
      </c>
      <c r="X58" s="41">
        <f t="shared" si="18"/>
        <v>0.16476968046433729</v>
      </c>
      <c r="Y58" s="42">
        <f t="shared" si="23"/>
        <v>11204246.4</v>
      </c>
      <c r="Z58" s="42">
        <f>'FY 2009 Exp 01-15-10'!C11</f>
        <v>13483773</v>
      </c>
      <c r="AA58" s="42">
        <f>SUM('FY 2009 Exp 01-15-10'!F11:H11)</f>
        <v>4721352.5</v>
      </c>
      <c r="AB58" s="41">
        <f t="shared" si="24"/>
        <v>0.35015069595134835</v>
      </c>
      <c r="AC58" s="42">
        <f>'FY 2009 Exp 01-15-10'!D11</f>
        <v>25988724</v>
      </c>
      <c r="AD58" s="41">
        <f t="shared" si="25"/>
        <v>0.18166926933388497</v>
      </c>
      <c r="AE58" s="42">
        <f t="shared" si="26"/>
        <v>8762420.5</v>
      </c>
      <c r="AF58" s="42">
        <f>'FY 2008 Exp 01-15-10'!C11</f>
        <v>13190056</v>
      </c>
      <c r="AG58" s="42">
        <f>SUM('FY 2008 Exp 01-15-10'!F11:H11)</f>
        <v>3495021.5</v>
      </c>
      <c r="AH58" s="41">
        <f t="shared" si="27"/>
        <v>0.26497396978451038</v>
      </c>
      <c r="AI58" s="42">
        <f>'FY 2008 Exp 01-15-10'!D11</f>
        <v>40957636</v>
      </c>
      <c r="AJ58" s="41">
        <f t="shared" si="28"/>
        <v>8.5332598297421264E-2</v>
      </c>
      <c r="AK58" s="13">
        <f t="shared" si="29"/>
        <v>9695034.5</v>
      </c>
    </row>
    <row r="59" spans="1:37" ht="15.75" customHeight="1">
      <c r="A59" s="119" t="s">
        <v>34</v>
      </c>
      <c r="B59" s="120"/>
      <c r="C59" s="110">
        <f t="shared" si="30"/>
        <v>62722061</v>
      </c>
      <c r="D59" s="110">
        <f t="shared" si="31"/>
        <v>14523532</v>
      </c>
      <c r="E59" s="106">
        <f t="shared" si="13"/>
        <v>0.23155380688144162</v>
      </c>
      <c r="F59" s="108">
        <f t="shared" si="19"/>
        <v>1156983.25</v>
      </c>
      <c r="G59" s="25">
        <f t="shared" si="20"/>
        <v>15680515.25</v>
      </c>
      <c r="H59" s="25">
        <f t="shared" si="14"/>
        <v>48198529</v>
      </c>
      <c r="I59" s="1">
        <v>0.25</v>
      </c>
      <c r="J59" s="35" t="s">
        <v>34</v>
      </c>
      <c r="K59" s="83">
        <v>62722061</v>
      </c>
      <c r="L59" s="86">
        <v>14523532</v>
      </c>
      <c r="M59" s="41">
        <f t="shared" si="15"/>
        <v>0.23155380688144162</v>
      </c>
      <c r="N59" s="83">
        <v>63810544</v>
      </c>
      <c r="O59" s="86">
        <v>20058192</v>
      </c>
      <c r="P59" s="41">
        <f t="shared" si="16"/>
        <v>0.31433977431692167</v>
      </c>
      <c r="Q59" s="42">
        <f t="shared" si="21"/>
        <v>43752352</v>
      </c>
      <c r="R59" s="83">
        <v>65349602</v>
      </c>
      <c r="S59" s="86">
        <v>14281768</v>
      </c>
      <c r="T59" s="41">
        <f t="shared" si="17"/>
        <v>0.21854407009242383</v>
      </c>
      <c r="U59" s="42">
        <f t="shared" si="22"/>
        <v>51067834</v>
      </c>
      <c r="V59" s="42">
        <v>65544767</v>
      </c>
      <c r="W59" s="42">
        <v>15025948.539999999</v>
      </c>
      <c r="X59" s="41">
        <f t="shared" si="18"/>
        <v>0.22924711197768083</v>
      </c>
      <c r="Y59" s="42">
        <f t="shared" si="23"/>
        <v>50518818.460000001</v>
      </c>
      <c r="Z59" s="42">
        <f>'FY 2009 Exp 01-15-10'!C12</f>
        <v>65608655</v>
      </c>
      <c r="AA59" s="42">
        <f>SUM('FY 2009 Exp 01-15-10'!F12:H12)</f>
        <v>11934925.530000001</v>
      </c>
      <c r="AB59" s="41">
        <f t="shared" si="24"/>
        <v>0.18191083981221687</v>
      </c>
      <c r="AC59" s="42">
        <f>'FY 2009 Exp 01-15-10'!D12</f>
        <v>58058647</v>
      </c>
      <c r="AD59" s="41">
        <f t="shared" si="25"/>
        <v>0.20556671825301065</v>
      </c>
      <c r="AE59" s="42">
        <f t="shared" si="26"/>
        <v>53673729.469999999</v>
      </c>
      <c r="AF59" s="42">
        <f>'FY 2008 Exp 01-15-10'!C12</f>
        <v>64075535</v>
      </c>
      <c r="AG59" s="42">
        <f>SUM('FY 2008 Exp 01-15-10'!F12:H12)</f>
        <v>12546470.73</v>
      </c>
      <c r="AH59" s="41">
        <f t="shared" si="27"/>
        <v>0.19580750640630626</v>
      </c>
      <c r="AI59" s="42">
        <f>'FY 2008 Exp 01-15-10'!D12</f>
        <v>57996969</v>
      </c>
      <c r="AJ59" s="41">
        <f t="shared" si="28"/>
        <v>0.21632976595725201</v>
      </c>
      <c r="AK59" s="13">
        <f t="shared" si="29"/>
        <v>51529064.269999996</v>
      </c>
    </row>
    <row r="60" spans="1:37" ht="15.75" customHeight="1">
      <c r="A60" s="119" t="s">
        <v>132</v>
      </c>
      <c r="B60" s="120"/>
      <c r="C60" s="110">
        <f t="shared" si="30"/>
        <v>20550895</v>
      </c>
      <c r="D60" s="110">
        <f t="shared" si="31"/>
        <v>6542409</v>
      </c>
      <c r="E60" s="106">
        <f t="shared" si="13"/>
        <v>0.31835153651458975</v>
      </c>
      <c r="F60" s="108">
        <f t="shared" si="19"/>
        <v>-1404685.25</v>
      </c>
      <c r="G60" s="25">
        <f t="shared" si="20"/>
        <v>5137723.75</v>
      </c>
      <c r="H60" s="25">
        <f t="shared" si="14"/>
        <v>14008486</v>
      </c>
      <c r="I60" s="1">
        <v>0.25</v>
      </c>
      <c r="J60" s="35" t="s">
        <v>132</v>
      </c>
      <c r="K60" s="83">
        <v>20550895</v>
      </c>
      <c r="L60" s="86">
        <v>6542409</v>
      </c>
      <c r="M60" s="41">
        <f t="shared" si="15"/>
        <v>0.31835153651458975</v>
      </c>
      <c r="N60" s="83">
        <v>19894693</v>
      </c>
      <c r="O60" s="86">
        <v>6964318</v>
      </c>
      <c r="P60" s="41">
        <f t="shared" si="16"/>
        <v>0.35005908359581123</v>
      </c>
      <c r="Q60" s="42">
        <f t="shared" si="21"/>
        <v>12930375</v>
      </c>
      <c r="R60" s="83">
        <v>19688923</v>
      </c>
      <c r="S60" s="86">
        <v>11149834</v>
      </c>
      <c r="T60" s="41">
        <f t="shared" si="17"/>
        <v>0.56629984281009171</v>
      </c>
      <c r="U60" s="42">
        <f t="shared" si="22"/>
        <v>8539089</v>
      </c>
      <c r="V60" s="42">
        <v>19347332</v>
      </c>
      <c r="W60" s="42">
        <v>5946867.6799999997</v>
      </c>
      <c r="X60" s="41">
        <f t="shared" si="18"/>
        <v>0.30737404413176966</v>
      </c>
      <c r="Y60" s="42">
        <f t="shared" si="23"/>
        <v>13400464.32</v>
      </c>
      <c r="Z60" s="42">
        <f>'FY 2009 Exp 01-15-10'!C13</f>
        <v>19861346</v>
      </c>
      <c r="AA60" s="42">
        <f>SUM('FY 2009 Exp 01-15-10'!F13:H13)</f>
        <v>11557682.65</v>
      </c>
      <c r="AB60" s="41">
        <f t="shared" si="24"/>
        <v>0.581918398179056</v>
      </c>
      <c r="AC60" s="42">
        <f>'FY 2009 Exp 01-15-10'!D13</f>
        <v>38533167</v>
      </c>
      <c r="AD60" s="41">
        <f t="shared" si="25"/>
        <v>0.29994115588786152</v>
      </c>
      <c r="AE60" s="42">
        <f t="shared" si="26"/>
        <v>8303663.3499999996</v>
      </c>
      <c r="AF60" s="42">
        <f>'FY 2008 Exp 01-15-10'!C13</f>
        <v>17022879</v>
      </c>
      <c r="AG60" s="42">
        <f>SUM('FY 2008 Exp 01-15-10'!F13:H13)</f>
        <v>7032865.2899999991</v>
      </c>
      <c r="AH60" s="41">
        <f t="shared" si="27"/>
        <v>0.4131419420886443</v>
      </c>
      <c r="AI60" s="42">
        <f>'FY 2008 Exp 01-15-10'!D13</f>
        <v>37697948</v>
      </c>
      <c r="AJ60" s="41">
        <f t="shared" si="28"/>
        <v>0.18655830524250283</v>
      </c>
      <c r="AK60" s="13">
        <f t="shared" si="29"/>
        <v>9990013.7100000009</v>
      </c>
    </row>
    <row r="61" spans="1:37" ht="15.75" customHeight="1" thickBot="1">
      <c r="A61" s="119" t="s">
        <v>35</v>
      </c>
      <c r="B61" s="120"/>
      <c r="C61" s="110">
        <f t="shared" si="30"/>
        <v>20015145</v>
      </c>
      <c r="D61" s="110">
        <f t="shared" si="31"/>
        <v>10640787</v>
      </c>
      <c r="E61" s="106">
        <f t="shared" si="13"/>
        <v>0.53163676805738858</v>
      </c>
      <c r="F61" s="108">
        <f t="shared" si="19"/>
        <v>-5637000.75</v>
      </c>
      <c r="G61" s="25">
        <f t="shared" si="20"/>
        <v>5003786.25</v>
      </c>
      <c r="H61" s="25">
        <f t="shared" si="14"/>
        <v>9374358</v>
      </c>
      <c r="I61" s="1">
        <v>0.25</v>
      </c>
      <c r="J61" s="35" t="s">
        <v>35</v>
      </c>
      <c r="K61" s="84">
        <v>20015145</v>
      </c>
      <c r="L61" s="87">
        <v>10640787</v>
      </c>
      <c r="M61" s="38">
        <f t="shared" si="15"/>
        <v>0.53163676805738858</v>
      </c>
      <c r="N61" s="84">
        <v>27624277</v>
      </c>
      <c r="O61" s="87">
        <v>13420952</v>
      </c>
      <c r="P61" s="38">
        <f t="shared" si="16"/>
        <v>0.48583903209484902</v>
      </c>
      <c r="Q61" s="44">
        <f t="shared" si="21"/>
        <v>14203325</v>
      </c>
      <c r="R61" s="84">
        <v>28150079</v>
      </c>
      <c r="S61" s="87">
        <v>30143927</v>
      </c>
      <c r="T61" s="38">
        <f t="shared" si="17"/>
        <v>1.070829215079645</v>
      </c>
      <c r="U61" s="44">
        <f t="shared" si="22"/>
        <v>-1993848</v>
      </c>
      <c r="V61" s="44">
        <v>26609348</v>
      </c>
      <c r="W61" s="44">
        <v>2665266.39</v>
      </c>
      <c r="X61" s="38">
        <f t="shared" si="18"/>
        <v>0.10016278452219123</v>
      </c>
      <c r="Y61" s="44">
        <f t="shared" si="23"/>
        <v>23944081.609999999</v>
      </c>
      <c r="Z61" s="44">
        <f>'FY 2009 Exp 01-15-10'!C14</f>
        <v>27673796</v>
      </c>
      <c r="AA61" s="44">
        <f>SUM('FY 2009 Exp 01-15-10'!F14:H14)</f>
        <v>5609973.29</v>
      </c>
      <c r="AB61" s="38">
        <f t="shared" si="24"/>
        <v>0.20271788120429882</v>
      </c>
      <c r="AC61" s="44">
        <f>'FY 2009 Exp 01-15-10'!D14</f>
        <v>70249042</v>
      </c>
      <c r="AD61" s="38">
        <f t="shared" si="25"/>
        <v>7.9858360061337202E-2</v>
      </c>
      <c r="AE61" s="44">
        <f t="shared" si="26"/>
        <v>22063822.710000001</v>
      </c>
      <c r="AF61" s="44">
        <f>'FY 2008 Exp 01-15-10'!C14</f>
        <v>25864446</v>
      </c>
      <c r="AG61" s="44">
        <f>SUM('FY 2008 Exp 01-15-10'!F14:H14)</f>
        <v>4351706.92</v>
      </c>
      <c r="AH61" s="38">
        <f t="shared" si="27"/>
        <v>0.16825053666334086</v>
      </c>
      <c r="AI61" s="44">
        <f>'FY 2008 Exp 01-15-10'!D14</f>
        <v>40216702</v>
      </c>
      <c r="AJ61" s="38">
        <f t="shared" si="28"/>
        <v>0.10820645909751625</v>
      </c>
      <c r="AK61" s="45">
        <f t="shared" si="29"/>
        <v>21512739.079999998</v>
      </c>
    </row>
    <row r="62" spans="1:37" ht="15.75" customHeight="1" thickBot="1">
      <c r="A62" s="121" t="s">
        <v>28</v>
      </c>
      <c r="B62" s="122"/>
      <c r="C62" s="112">
        <f>SUM(C49:C61)</f>
        <v>259113699</v>
      </c>
      <c r="D62" s="112">
        <f>SUM(D49:D61)</f>
        <v>55458115</v>
      </c>
      <c r="E62" s="106">
        <f t="shared" si="13"/>
        <v>0.21403003860479025</v>
      </c>
      <c r="F62" s="114">
        <f t="shared" si="19"/>
        <v>9320309.75</v>
      </c>
      <c r="G62" s="14">
        <f t="shared" si="20"/>
        <v>64778424.75</v>
      </c>
      <c r="J62" s="30"/>
      <c r="K62" s="43">
        <f>SUM(K49:K61)</f>
        <v>259113699</v>
      </c>
      <c r="L62" s="43">
        <f>SUM(L49:L61)</f>
        <v>55458115</v>
      </c>
      <c r="M62" s="39">
        <f t="shared" si="15"/>
        <v>0.21403003860479025</v>
      </c>
      <c r="N62" s="43">
        <f>SUM(N49:N61)</f>
        <v>264867593</v>
      </c>
      <c r="O62" s="43">
        <f>SUM(O49:O61)</f>
        <v>68938736</v>
      </c>
      <c r="P62" s="39">
        <f t="shared" si="16"/>
        <v>0.26027622035286135</v>
      </c>
      <c r="Q62" s="43">
        <f>SUM(Q49:Q61)</f>
        <v>195928857</v>
      </c>
      <c r="R62" s="43">
        <f>SUM(R49:R61)</f>
        <v>271926181</v>
      </c>
      <c r="S62" s="43">
        <f>SUM(S49:S61)</f>
        <v>90142134</v>
      </c>
      <c r="T62" s="39">
        <f t="shared" si="17"/>
        <v>0.3314948699257465</v>
      </c>
      <c r="U62" s="43">
        <f>SUM(U49:U61)</f>
        <v>181784047</v>
      </c>
      <c r="V62" s="43">
        <f>SUM(V49:V61)</f>
        <v>270182156</v>
      </c>
      <c r="W62" s="43">
        <f>SUM(W49:W61)</f>
        <v>49104022.660000004</v>
      </c>
      <c r="X62" s="39">
        <f t="shared" si="18"/>
        <v>0.18174413657428953</v>
      </c>
      <c r="Y62" s="43">
        <f>SUM(Y49:Y61)</f>
        <v>221078133.33999997</v>
      </c>
      <c r="Z62" s="43">
        <f t="shared" ref="Z62:AK62" si="32">SUM(Z49:Z61)</f>
        <v>269482206</v>
      </c>
      <c r="AA62" s="43">
        <f t="shared" si="32"/>
        <v>50381644.359999999</v>
      </c>
      <c r="AB62" s="39">
        <f t="shared" si="24"/>
        <v>0.18695722106416185</v>
      </c>
      <c r="AC62" s="43">
        <f t="shared" si="32"/>
        <v>345653526</v>
      </c>
      <c r="AD62" s="39">
        <f t="shared" si="25"/>
        <v>0.14575764622751164</v>
      </c>
      <c r="AE62" s="43">
        <f t="shared" si="32"/>
        <v>219100561.64000002</v>
      </c>
      <c r="AF62" s="43">
        <f t="shared" si="32"/>
        <v>255607673</v>
      </c>
      <c r="AG62" s="43">
        <f t="shared" si="32"/>
        <v>41827577.430000007</v>
      </c>
      <c r="AH62" s="39">
        <f t="shared" si="27"/>
        <v>0.16363975673766259</v>
      </c>
      <c r="AI62" s="43">
        <f t="shared" si="32"/>
        <v>322179771</v>
      </c>
      <c r="AJ62" s="39">
        <f t="shared" si="28"/>
        <v>0.12982682711634308</v>
      </c>
      <c r="AK62" s="43">
        <f t="shared" si="32"/>
        <v>213780095.56999999</v>
      </c>
    </row>
    <row r="63" spans="1:37" ht="16.5" thickTop="1">
      <c r="A63" s="103"/>
      <c r="B63" s="103"/>
      <c r="C63" s="103"/>
      <c r="D63" s="103"/>
      <c r="E63" s="103"/>
      <c r="F63" s="103"/>
      <c r="J63" s="79"/>
      <c r="K63" s="79"/>
      <c r="L63" s="79"/>
      <c r="M63" s="79"/>
    </row>
    <row r="64" spans="1:37" ht="15.75">
      <c r="A64" s="103"/>
      <c r="B64" s="103"/>
      <c r="C64" s="103"/>
      <c r="D64" s="103"/>
      <c r="E64" s="103"/>
      <c r="F64" s="103"/>
      <c r="J64" s="79"/>
      <c r="K64" s="79"/>
      <c r="L64" s="79"/>
      <c r="M64" s="79"/>
    </row>
    <row r="65" spans="1:13" ht="15.75">
      <c r="A65" s="103"/>
      <c r="B65" s="103"/>
      <c r="C65" s="103"/>
      <c r="D65" s="103"/>
      <c r="E65" s="103"/>
      <c r="F65" s="103"/>
      <c r="J65" s="79"/>
      <c r="K65" s="79"/>
      <c r="L65" s="79"/>
      <c r="M65" s="79"/>
    </row>
    <row r="66" spans="1:13" ht="15.75">
      <c r="A66" s="103"/>
      <c r="B66" s="103"/>
      <c r="C66" s="103"/>
      <c r="D66" s="103"/>
      <c r="E66" s="103"/>
      <c r="F66" s="103"/>
      <c r="J66" s="79"/>
      <c r="K66" s="79"/>
      <c r="L66" s="79"/>
      <c r="M66" s="79"/>
    </row>
    <row r="67" spans="1:13" ht="15.75">
      <c r="A67" s="103"/>
      <c r="B67" s="103"/>
      <c r="C67" s="103"/>
      <c r="D67" s="103"/>
      <c r="E67" s="103"/>
      <c r="F67" s="103"/>
      <c r="J67" s="79"/>
      <c r="K67" s="79"/>
      <c r="L67" s="79"/>
      <c r="M67" s="79"/>
    </row>
    <row r="68" spans="1:13" ht="15.75">
      <c r="A68" s="103"/>
      <c r="B68" s="103"/>
      <c r="C68" s="103"/>
      <c r="D68" s="103"/>
      <c r="E68" s="103"/>
      <c r="F68" s="103"/>
      <c r="J68" s="79"/>
      <c r="K68" s="79"/>
      <c r="L68" s="79"/>
      <c r="M68" s="79"/>
    </row>
    <row r="69" spans="1:13" ht="15.75">
      <c r="A69" s="103"/>
      <c r="B69" s="103"/>
      <c r="C69" s="103"/>
      <c r="D69" s="103"/>
      <c r="E69" s="103"/>
      <c r="F69" s="103"/>
      <c r="J69" s="79"/>
      <c r="K69" s="79"/>
      <c r="L69" s="79"/>
      <c r="M69" s="79"/>
    </row>
    <row r="70" spans="1:13" ht="15.75">
      <c r="A70" s="103"/>
      <c r="B70" s="103"/>
      <c r="C70" s="103"/>
      <c r="D70" s="103"/>
      <c r="E70" s="103"/>
      <c r="F70" s="103"/>
      <c r="J70" s="79"/>
      <c r="K70" s="79"/>
      <c r="L70" s="79"/>
      <c r="M70" s="79"/>
    </row>
    <row r="71" spans="1:13" ht="15.75">
      <c r="A71" s="103"/>
      <c r="B71" s="103"/>
      <c r="C71" s="103"/>
      <c r="D71" s="103"/>
      <c r="E71" s="103"/>
      <c r="F71" s="103"/>
      <c r="J71" s="79"/>
      <c r="K71" s="79"/>
      <c r="L71" s="79"/>
      <c r="M71" s="79"/>
    </row>
    <row r="72" spans="1:13" ht="15.75">
      <c r="A72" s="103"/>
      <c r="B72" s="103"/>
      <c r="C72" s="103"/>
      <c r="D72" s="103"/>
      <c r="E72" s="103"/>
      <c r="F72" s="103"/>
      <c r="J72" s="79"/>
      <c r="K72" s="79"/>
      <c r="L72" s="79"/>
      <c r="M72" s="79"/>
    </row>
    <row r="73" spans="1:13" ht="15.75">
      <c r="A73" s="103"/>
      <c r="B73" s="103"/>
      <c r="C73" s="103"/>
      <c r="D73" s="103"/>
      <c r="E73" s="103"/>
      <c r="F73" s="103"/>
      <c r="J73" s="79"/>
      <c r="K73" s="79"/>
      <c r="L73" s="79"/>
      <c r="M73" s="79"/>
    </row>
    <row r="74" spans="1:13" ht="15.75">
      <c r="A74" s="103"/>
      <c r="B74" s="103"/>
      <c r="C74" s="103"/>
      <c r="D74" s="103"/>
      <c r="E74" s="103"/>
      <c r="F74" s="103"/>
      <c r="J74" s="79"/>
      <c r="K74" s="79"/>
      <c r="L74" s="79"/>
      <c r="M74" s="79"/>
    </row>
    <row r="75" spans="1:13" ht="15.75">
      <c r="A75" s="103"/>
      <c r="B75" s="103"/>
      <c r="C75" s="103"/>
      <c r="D75" s="103"/>
      <c r="E75" s="103"/>
      <c r="F75" s="103"/>
      <c r="J75" s="79"/>
      <c r="K75" s="79"/>
      <c r="L75" s="79"/>
      <c r="M75" s="79"/>
    </row>
    <row r="76" spans="1:13" ht="15.75">
      <c r="A76" s="103"/>
      <c r="B76" s="103"/>
      <c r="C76" s="103"/>
      <c r="D76" s="103"/>
      <c r="E76" s="103"/>
      <c r="F76" s="103"/>
      <c r="J76" s="80"/>
      <c r="K76" s="80"/>
      <c r="L76" s="80"/>
      <c r="M76" s="80"/>
    </row>
    <row r="77" spans="1:13" ht="15.75">
      <c r="A77" s="103"/>
      <c r="B77" s="103"/>
      <c r="C77" s="103"/>
      <c r="D77" s="103"/>
      <c r="E77" s="103"/>
      <c r="F77" s="103"/>
      <c r="J77" s="81"/>
      <c r="K77" s="81"/>
      <c r="L77" s="81"/>
      <c r="M77" s="81"/>
    </row>
    <row r="78" spans="1:13" ht="15.75">
      <c r="A78" s="103"/>
      <c r="B78" s="103"/>
      <c r="C78" s="103"/>
      <c r="D78" s="103"/>
      <c r="E78" s="103"/>
      <c r="F78" s="103"/>
    </row>
    <row r="79" spans="1:13" ht="15.75">
      <c r="A79" s="103"/>
      <c r="B79" s="103"/>
      <c r="C79" s="103"/>
      <c r="D79" s="103"/>
      <c r="E79" s="103"/>
      <c r="F79" s="103"/>
    </row>
    <row r="80" spans="1:13" ht="15.75">
      <c r="A80" s="103"/>
      <c r="B80" s="103"/>
      <c r="C80" s="103"/>
      <c r="D80" s="103"/>
      <c r="E80" s="103"/>
      <c r="F80" s="103"/>
    </row>
    <row r="81" spans="1:6" ht="15.75">
      <c r="A81" s="103"/>
      <c r="B81" s="103"/>
      <c r="C81" s="103"/>
      <c r="D81" s="103"/>
      <c r="E81" s="103"/>
      <c r="F81" s="103"/>
    </row>
    <row r="82" spans="1:6" ht="15.75">
      <c r="A82" s="103"/>
      <c r="B82" s="103"/>
      <c r="C82" s="103"/>
      <c r="D82" s="103"/>
      <c r="E82" s="103"/>
      <c r="F82" s="103"/>
    </row>
    <row r="83" spans="1:6" ht="15.75">
      <c r="A83" s="103"/>
      <c r="B83" s="103"/>
      <c r="C83" s="103"/>
      <c r="D83" s="103"/>
      <c r="E83" s="103"/>
      <c r="F83" s="103"/>
    </row>
    <row r="84" spans="1:6" ht="15.75">
      <c r="A84" s="103"/>
      <c r="B84" s="103"/>
      <c r="C84" s="103"/>
      <c r="D84" s="103"/>
      <c r="E84" s="103"/>
      <c r="F84" s="103"/>
    </row>
    <row r="85" spans="1:6" ht="15.75">
      <c r="A85" s="103"/>
      <c r="B85" s="103"/>
      <c r="C85" s="103"/>
      <c r="D85" s="103"/>
      <c r="E85" s="103"/>
      <c r="F85" s="103"/>
    </row>
    <row r="86" spans="1:6" ht="15.75">
      <c r="A86" s="103"/>
      <c r="B86" s="103"/>
      <c r="C86" s="103"/>
      <c r="D86" s="103"/>
      <c r="E86" s="103"/>
      <c r="F86" s="103"/>
    </row>
    <row r="87" spans="1:6" ht="15.75">
      <c r="A87" s="103"/>
      <c r="B87" s="103"/>
      <c r="C87" s="103"/>
      <c r="D87" s="103"/>
      <c r="E87" s="103"/>
      <c r="F87" s="103"/>
    </row>
    <row r="88" spans="1:6" ht="15.75">
      <c r="A88" s="103"/>
      <c r="B88" s="103"/>
      <c r="C88" s="103"/>
      <c r="D88" s="103"/>
      <c r="E88" s="103"/>
      <c r="F88" s="103"/>
    </row>
    <row r="89" spans="1:6" ht="15.75">
      <c r="A89" s="103"/>
      <c r="B89" s="103"/>
      <c r="C89" s="103"/>
      <c r="D89" s="103"/>
      <c r="E89" s="103"/>
      <c r="F89" s="103"/>
    </row>
    <row r="90" spans="1:6" ht="15.75">
      <c r="A90" s="103"/>
      <c r="B90" s="103"/>
      <c r="C90" s="103"/>
      <c r="D90" s="103"/>
      <c r="E90" s="103"/>
      <c r="F90" s="103"/>
    </row>
    <row r="91" spans="1:6" ht="15.75">
      <c r="A91" s="103"/>
      <c r="B91" s="103"/>
      <c r="C91" s="103"/>
      <c r="D91" s="103"/>
      <c r="E91" s="103"/>
      <c r="F91" s="103"/>
    </row>
    <row r="92" spans="1:6" ht="15.75">
      <c r="A92" s="103"/>
      <c r="B92" s="103"/>
      <c r="C92" s="103"/>
      <c r="D92" s="103"/>
      <c r="E92" s="103"/>
      <c r="F92" s="103"/>
    </row>
    <row r="93" spans="1:6" ht="15.75">
      <c r="A93" s="103"/>
      <c r="B93" s="103"/>
      <c r="C93" s="103"/>
      <c r="D93" s="103"/>
      <c r="E93" s="103"/>
      <c r="F93" s="103"/>
    </row>
    <row r="94" spans="1:6" ht="15.75">
      <c r="A94" s="103"/>
      <c r="B94" s="103"/>
      <c r="C94" s="103"/>
      <c r="D94" s="103"/>
      <c r="E94" s="103"/>
      <c r="F94" s="103"/>
    </row>
    <row r="95" spans="1:6" ht="15.75">
      <c r="A95" s="103"/>
      <c r="B95" s="103"/>
      <c r="C95" s="103"/>
      <c r="D95" s="103"/>
      <c r="E95" s="103"/>
      <c r="F95" s="103"/>
    </row>
    <row r="96" spans="1:6" ht="15.75">
      <c r="A96" s="103"/>
      <c r="B96" s="103"/>
      <c r="C96" s="103"/>
      <c r="D96" s="103"/>
      <c r="E96" s="103"/>
      <c r="F96" s="103"/>
    </row>
    <row r="97" spans="1:6" ht="15.75">
      <c r="A97" s="103"/>
      <c r="B97" s="103"/>
      <c r="C97" s="103"/>
      <c r="D97" s="103"/>
      <c r="E97" s="103"/>
      <c r="F97" s="103"/>
    </row>
    <row r="98" spans="1:6" ht="15.75">
      <c r="A98" s="103"/>
      <c r="B98" s="103"/>
      <c r="C98" s="103"/>
      <c r="D98" s="103"/>
      <c r="E98" s="103"/>
      <c r="F98" s="103"/>
    </row>
    <row r="99" spans="1:6" ht="15.75">
      <c r="A99" s="103"/>
      <c r="B99" s="103"/>
      <c r="C99" s="103"/>
      <c r="D99" s="103"/>
      <c r="E99" s="103"/>
      <c r="F99" s="103"/>
    </row>
    <row r="100" spans="1:6" ht="15.75">
      <c r="A100" s="103"/>
      <c r="B100" s="103"/>
      <c r="C100" s="103"/>
      <c r="D100" s="103"/>
      <c r="E100" s="103"/>
      <c r="F100" s="103"/>
    </row>
    <row r="101" spans="1:6" ht="15.75">
      <c r="A101" s="103"/>
      <c r="B101" s="103"/>
      <c r="C101" s="103"/>
      <c r="D101" s="103"/>
      <c r="E101" s="103"/>
      <c r="F101" s="103"/>
    </row>
    <row r="102" spans="1:6" ht="15.75">
      <c r="A102" s="103"/>
      <c r="B102" s="103"/>
      <c r="C102" s="103"/>
      <c r="D102" s="103"/>
      <c r="E102" s="103"/>
      <c r="F102" s="103"/>
    </row>
    <row r="103" spans="1:6" ht="15.75">
      <c r="A103" s="103"/>
      <c r="B103" s="103"/>
      <c r="C103" s="103"/>
      <c r="D103" s="103"/>
      <c r="E103" s="103"/>
      <c r="F103" s="103"/>
    </row>
    <row r="104" spans="1:6" ht="15.75">
      <c r="A104" s="103"/>
      <c r="B104" s="103"/>
      <c r="C104" s="103"/>
      <c r="D104" s="103"/>
      <c r="E104" s="103"/>
      <c r="F104" s="103"/>
    </row>
    <row r="105" spans="1:6" ht="15.75">
      <c r="A105" s="103"/>
      <c r="B105" s="103"/>
      <c r="C105" s="103"/>
      <c r="D105" s="103"/>
      <c r="E105" s="103"/>
      <c r="F105" s="103"/>
    </row>
    <row r="106" spans="1:6" ht="15.75">
      <c r="A106" s="103"/>
      <c r="B106" s="103"/>
      <c r="C106" s="103"/>
      <c r="D106" s="103"/>
      <c r="E106" s="103"/>
      <c r="F106" s="103"/>
    </row>
    <row r="107" spans="1:6" ht="15.75">
      <c r="A107" s="103"/>
      <c r="B107" s="103"/>
      <c r="C107" s="103"/>
      <c r="D107" s="103"/>
      <c r="E107" s="103"/>
      <c r="F107" s="103"/>
    </row>
    <row r="108" spans="1:6" ht="15.75">
      <c r="A108" s="103"/>
      <c r="B108" s="103"/>
      <c r="C108" s="103"/>
      <c r="D108" s="103"/>
      <c r="E108" s="103"/>
      <c r="F108" s="103"/>
    </row>
    <row r="109" spans="1:6" ht="15.75">
      <c r="A109" s="103"/>
      <c r="B109" s="103"/>
      <c r="C109" s="103"/>
      <c r="D109" s="103"/>
      <c r="E109" s="103"/>
      <c r="F109" s="103"/>
    </row>
    <row r="110" spans="1:6" ht="15.75">
      <c r="A110" s="103"/>
      <c r="B110" s="103"/>
      <c r="C110" s="103"/>
      <c r="D110" s="103"/>
      <c r="E110" s="103"/>
      <c r="F110" s="103"/>
    </row>
    <row r="111" spans="1:6" ht="15.75">
      <c r="A111" s="103"/>
      <c r="B111" s="103"/>
      <c r="C111" s="103"/>
      <c r="D111" s="103"/>
      <c r="E111" s="103"/>
      <c r="F111" s="103"/>
    </row>
    <row r="112" spans="1:6" ht="15.75">
      <c r="A112" s="103"/>
      <c r="B112" s="103"/>
      <c r="C112" s="103"/>
      <c r="D112" s="103"/>
      <c r="E112" s="103"/>
      <c r="F112" s="103"/>
    </row>
    <row r="113" spans="1:6" ht="5.25" customHeight="1">
      <c r="A113" s="103"/>
      <c r="B113" s="103"/>
      <c r="C113" s="103"/>
      <c r="D113" s="103"/>
      <c r="E113" s="103"/>
      <c r="F113" s="103"/>
    </row>
    <row r="114" spans="1:6" ht="15.75">
      <c r="A114" s="103"/>
      <c r="B114" s="103"/>
      <c r="C114" s="103"/>
      <c r="D114" s="103"/>
      <c r="E114" s="103"/>
      <c r="F114" s="103"/>
    </row>
    <row r="115" spans="1:6" ht="15.75">
      <c r="A115" s="103"/>
      <c r="B115" s="103"/>
      <c r="C115" s="103"/>
      <c r="D115" s="103"/>
      <c r="E115" s="103"/>
      <c r="F115" s="103"/>
    </row>
    <row r="116" spans="1:6" ht="15.75">
      <c r="A116" s="103"/>
      <c r="B116" s="103"/>
      <c r="C116" s="103"/>
      <c r="D116" s="103"/>
      <c r="E116" s="103"/>
      <c r="F116" s="103"/>
    </row>
    <row r="117" spans="1:6" ht="15.75">
      <c r="A117" s="103"/>
      <c r="B117" s="103"/>
      <c r="C117" s="103"/>
      <c r="D117" s="103"/>
      <c r="E117" s="103"/>
      <c r="F117" s="103"/>
    </row>
    <row r="118" spans="1:6" ht="15.75">
      <c r="A118" s="103"/>
      <c r="B118" s="103"/>
      <c r="C118" s="103"/>
      <c r="D118" s="103"/>
      <c r="E118" s="103"/>
      <c r="F118" s="103"/>
    </row>
    <row r="119" spans="1:6" ht="15.75">
      <c r="A119" s="103"/>
      <c r="B119" s="103"/>
      <c r="C119" s="103"/>
      <c r="D119" s="103"/>
      <c r="E119" s="103"/>
      <c r="F119" s="103"/>
    </row>
    <row r="120" spans="1:6" ht="15.75">
      <c r="A120" s="103"/>
      <c r="B120" s="103"/>
      <c r="C120" s="103"/>
      <c r="D120" s="103"/>
      <c r="E120" s="103"/>
      <c r="F120" s="103"/>
    </row>
    <row r="121" spans="1:6" ht="15.75">
      <c r="A121" s="103"/>
      <c r="B121" s="103"/>
      <c r="C121" s="103"/>
      <c r="D121" s="103"/>
      <c r="E121" s="103"/>
      <c r="F121" s="103"/>
    </row>
    <row r="122" spans="1:6" ht="15.75">
      <c r="A122" s="103"/>
      <c r="B122" s="103"/>
      <c r="C122" s="103"/>
      <c r="D122" s="103"/>
      <c r="E122" s="103"/>
      <c r="F122" s="103"/>
    </row>
    <row r="123" spans="1:6" ht="15.75">
      <c r="A123" s="103"/>
      <c r="B123" s="103"/>
      <c r="C123" s="103"/>
      <c r="D123" s="103"/>
      <c r="E123" s="103"/>
      <c r="F123" s="103"/>
    </row>
    <row r="124" spans="1:6" ht="15.75">
      <c r="A124" s="103"/>
      <c r="B124" s="103"/>
      <c r="C124" s="103"/>
      <c r="D124" s="103"/>
      <c r="E124" s="103"/>
      <c r="F124" s="103"/>
    </row>
    <row r="125" spans="1:6" ht="15.75">
      <c r="A125" s="103"/>
      <c r="B125" s="103"/>
      <c r="C125" s="103"/>
      <c r="D125" s="103"/>
      <c r="E125" s="103"/>
      <c r="F125" s="103"/>
    </row>
    <row r="126" spans="1:6" ht="15.75">
      <c r="A126" s="103"/>
      <c r="B126" s="103"/>
      <c r="C126" s="103"/>
      <c r="D126" s="103"/>
      <c r="E126" s="103"/>
      <c r="F126" s="103"/>
    </row>
    <row r="127" spans="1:6" ht="15.75">
      <c r="A127" s="103"/>
      <c r="B127" s="103"/>
      <c r="C127" s="103"/>
      <c r="D127" s="103"/>
      <c r="E127" s="103"/>
      <c r="F127" s="103"/>
    </row>
    <row r="128" spans="1:6" ht="15.75">
      <c r="A128" s="103"/>
      <c r="B128" s="103"/>
      <c r="C128" s="103"/>
      <c r="D128" s="103"/>
      <c r="E128" s="103"/>
      <c r="F128" s="103"/>
    </row>
    <row r="129" spans="1:6" ht="15.75">
      <c r="A129" s="103"/>
      <c r="B129" s="103"/>
      <c r="C129" s="103"/>
      <c r="D129" s="103"/>
      <c r="E129" s="103"/>
      <c r="F129" s="103"/>
    </row>
    <row r="130" spans="1:6" ht="15.75">
      <c r="A130" s="103"/>
      <c r="B130" s="103"/>
      <c r="C130" s="103"/>
      <c r="D130" s="103"/>
      <c r="E130" s="103"/>
      <c r="F130" s="103"/>
    </row>
    <row r="131" spans="1:6" ht="15.75">
      <c r="A131" s="103"/>
      <c r="B131" s="103"/>
      <c r="C131" s="103"/>
      <c r="D131" s="103"/>
      <c r="E131" s="103"/>
      <c r="F131" s="103"/>
    </row>
    <row r="132" spans="1:6" ht="15.75">
      <c r="A132" s="103"/>
      <c r="B132" s="103"/>
      <c r="C132" s="103"/>
      <c r="D132" s="103"/>
      <c r="E132" s="103"/>
      <c r="F132" s="103"/>
    </row>
    <row r="133" spans="1:6" ht="15.75">
      <c r="A133" s="103"/>
      <c r="B133" s="103"/>
      <c r="C133" s="103"/>
      <c r="D133" s="103"/>
      <c r="E133" s="103"/>
      <c r="F133" s="103"/>
    </row>
    <row r="134" spans="1:6" ht="15.75">
      <c r="A134" s="103"/>
      <c r="B134" s="103"/>
      <c r="C134" s="103"/>
      <c r="D134" s="103"/>
      <c r="E134" s="103"/>
      <c r="F134" s="103"/>
    </row>
    <row r="135" spans="1:6" ht="15.75">
      <c r="A135" s="103"/>
      <c r="B135" s="103"/>
      <c r="C135" s="103"/>
      <c r="D135" s="103"/>
      <c r="E135" s="103"/>
      <c r="F135" s="103"/>
    </row>
    <row r="136" spans="1:6" ht="15.75">
      <c r="A136" s="103"/>
      <c r="B136" s="103"/>
      <c r="C136" s="103"/>
      <c r="D136" s="103"/>
      <c r="E136" s="103"/>
      <c r="F136" s="103"/>
    </row>
    <row r="137" spans="1:6" ht="15.75">
      <c r="A137" s="103"/>
      <c r="B137" s="103"/>
      <c r="C137" s="103"/>
      <c r="D137" s="103"/>
      <c r="E137" s="103"/>
      <c r="F137" s="103"/>
    </row>
    <row r="138" spans="1:6" ht="15.75">
      <c r="A138" s="103"/>
      <c r="B138" s="103"/>
      <c r="C138" s="103"/>
      <c r="D138" s="103"/>
      <c r="E138" s="103"/>
      <c r="F138" s="103"/>
    </row>
    <row r="139" spans="1:6" ht="15.75">
      <c r="A139" s="103"/>
      <c r="B139" s="103"/>
      <c r="C139" s="103"/>
      <c r="D139" s="103"/>
      <c r="E139" s="103"/>
      <c r="F139" s="103"/>
    </row>
    <row r="140" spans="1:6" ht="15.75">
      <c r="A140" s="103"/>
      <c r="B140" s="103"/>
      <c r="C140" s="103"/>
      <c r="D140" s="103"/>
      <c r="E140" s="103"/>
      <c r="F140" s="103"/>
    </row>
    <row r="141" spans="1:6" ht="15.75">
      <c r="A141" s="103"/>
      <c r="B141" s="103"/>
      <c r="C141" s="103"/>
      <c r="D141" s="103"/>
      <c r="E141" s="103"/>
      <c r="F141" s="103"/>
    </row>
    <row r="142" spans="1:6" ht="15.75">
      <c r="A142" s="103"/>
      <c r="B142" s="103"/>
      <c r="C142" s="103"/>
      <c r="D142" s="103"/>
      <c r="E142" s="103"/>
      <c r="F142" s="103"/>
    </row>
    <row r="143" spans="1:6" ht="15.75">
      <c r="A143" s="103"/>
      <c r="B143" s="103"/>
      <c r="C143" s="103"/>
      <c r="D143" s="103"/>
      <c r="E143" s="103"/>
      <c r="F143" s="103"/>
    </row>
    <row r="144" spans="1:6" ht="15.75">
      <c r="A144" s="103"/>
      <c r="B144" s="103"/>
      <c r="C144" s="103"/>
      <c r="D144" s="103"/>
      <c r="E144" s="103"/>
      <c r="F144" s="103"/>
    </row>
    <row r="145" spans="1:6" ht="15.75">
      <c r="A145" s="103"/>
      <c r="B145" s="103"/>
      <c r="C145" s="103"/>
      <c r="D145" s="103"/>
      <c r="E145" s="103"/>
      <c r="F145" s="103"/>
    </row>
    <row r="146" spans="1:6" ht="15.75">
      <c r="A146" s="103"/>
      <c r="B146" s="103"/>
      <c r="C146" s="103"/>
      <c r="D146" s="103"/>
      <c r="E146" s="103"/>
      <c r="F146" s="103"/>
    </row>
    <row r="147" spans="1:6" ht="15.75">
      <c r="A147" s="103"/>
      <c r="B147" s="103"/>
      <c r="C147" s="103"/>
      <c r="D147" s="103"/>
      <c r="E147" s="103"/>
      <c r="F147" s="103"/>
    </row>
    <row r="148" spans="1:6" ht="15.75">
      <c r="A148" s="103"/>
      <c r="B148" s="103"/>
      <c r="C148" s="103"/>
      <c r="D148" s="103"/>
      <c r="E148" s="103"/>
      <c r="F148" s="103"/>
    </row>
    <row r="149" spans="1:6" ht="15.75">
      <c r="A149" s="103"/>
      <c r="B149" s="103"/>
      <c r="C149" s="103"/>
      <c r="D149" s="103"/>
      <c r="E149" s="103"/>
      <c r="F149" s="103"/>
    </row>
    <row r="150" spans="1:6" ht="15.75">
      <c r="A150" s="103"/>
      <c r="B150" s="103"/>
      <c r="C150" s="103"/>
      <c r="D150" s="103"/>
      <c r="E150" s="103"/>
      <c r="F150" s="103"/>
    </row>
    <row r="151" spans="1:6" ht="15.75">
      <c r="A151" s="103"/>
      <c r="B151" s="103"/>
      <c r="C151" s="103"/>
      <c r="D151" s="103"/>
      <c r="E151" s="103"/>
      <c r="F151" s="103"/>
    </row>
    <row r="152" spans="1:6" ht="15.75">
      <c r="A152" s="103"/>
      <c r="B152" s="103"/>
      <c r="C152" s="103"/>
      <c r="D152" s="103"/>
      <c r="E152" s="103"/>
      <c r="F152" s="103"/>
    </row>
    <row r="153" spans="1:6" ht="15.75">
      <c r="A153" s="103"/>
      <c r="B153" s="103"/>
      <c r="C153" s="103"/>
      <c r="D153" s="103"/>
      <c r="E153" s="103"/>
      <c r="F153" s="103"/>
    </row>
    <row r="154" spans="1:6" ht="15.75">
      <c r="A154" s="103"/>
      <c r="B154" s="103"/>
      <c r="C154" s="103"/>
      <c r="D154" s="103"/>
      <c r="E154" s="103"/>
      <c r="F154" s="103"/>
    </row>
    <row r="155" spans="1:6" ht="15.75">
      <c r="A155" s="103"/>
      <c r="B155" s="103"/>
      <c r="C155" s="103"/>
      <c r="D155" s="103"/>
      <c r="E155" s="103"/>
      <c r="F155" s="103"/>
    </row>
    <row r="156" spans="1:6" ht="15.75">
      <c r="A156" s="103"/>
      <c r="B156" s="103"/>
      <c r="C156" s="103"/>
      <c r="D156" s="103"/>
      <c r="E156" s="103"/>
      <c r="F156" s="103"/>
    </row>
    <row r="157" spans="1:6" ht="15.75">
      <c r="A157" s="103"/>
      <c r="B157" s="103"/>
      <c r="C157" s="103"/>
      <c r="D157" s="103"/>
      <c r="E157" s="103"/>
      <c r="F157" s="103"/>
    </row>
    <row r="158" spans="1:6" ht="15.75">
      <c r="A158" s="103"/>
      <c r="B158" s="103"/>
      <c r="C158" s="103"/>
      <c r="D158" s="103"/>
      <c r="E158" s="103"/>
      <c r="F158" s="103"/>
    </row>
    <row r="159" spans="1:6" ht="15.75">
      <c r="A159" s="103"/>
      <c r="B159" s="103"/>
      <c r="C159" s="103"/>
      <c r="D159" s="103"/>
      <c r="E159" s="103"/>
      <c r="F159" s="103"/>
    </row>
    <row r="160" spans="1:6" ht="15.75">
      <c r="A160" s="103"/>
      <c r="B160" s="103"/>
      <c r="C160" s="103"/>
      <c r="D160" s="103"/>
      <c r="E160" s="103"/>
      <c r="F160" s="103"/>
    </row>
    <row r="161" spans="1:6" ht="15.75">
      <c r="A161" s="103"/>
      <c r="B161" s="103"/>
      <c r="C161" s="103"/>
      <c r="D161" s="103"/>
      <c r="E161" s="103"/>
      <c r="F161" s="103"/>
    </row>
    <row r="162" spans="1:6" ht="15.75">
      <c r="A162" s="103"/>
      <c r="B162" s="103"/>
      <c r="C162" s="103"/>
      <c r="D162" s="103"/>
      <c r="E162" s="103"/>
      <c r="F162" s="103"/>
    </row>
    <row r="163" spans="1:6" ht="15.75">
      <c r="A163" s="103"/>
      <c r="B163" s="103"/>
      <c r="C163" s="103"/>
      <c r="D163" s="103"/>
      <c r="E163" s="103"/>
      <c r="F163" s="103"/>
    </row>
    <row r="164" spans="1:6" ht="15.75">
      <c r="A164" s="103"/>
      <c r="B164" s="103"/>
      <c r="C164" s="103"/>
      <c r="D164" s="103"/>
      <c r="E164" s="103"/>
      <c r="F164" s="103"/>
    </row>
    <row r="165" spans="1:6" ht="15.75">
      <c r="A165" s="103"/>
      <c r="B165" s="103"/>
      <c r="C165" s="103"/>
      <c r="D165" s="103"/>
      <c r="E165" s="103"/>
      <c r="F165" s="103"/>
    </row>
    <row r="166" spans="1:6" ht="15.75">
      <c r="A166" s="103"/>
      <c r="B166" s="103"/>
      <c r="C166" s="103"/>
      <c r="D166" s="103"/>
      <c r="E166" s="103"/>
      <c r="F166" s="103"/>
    </row>
    <row r="167" spans="1:6" ht="15.75">
      <c r="A167" s="103"/>
      <c r="B167" s="103"/>
      <c r="C167" s="103"/>
      <c r="D167" s="103"/>
      <c r="E167" s="103"/>
      <c r="F167" s="103"/>
    </row>
    <row r="168" spans="1:6" ht="15.75">
      <c r="A168" s="103"/>
      <c r="B168" s="103"/>
      <c r="C168" s="103"/>
      <c r="D168" s="103"/>
      <c r="E168" s="103"/>
      <c r="F168" s="103"/>
    </row>
    <row r="169" spans="1:6" ht="15.75">
      <c r="A169" s="103"/>
      <c r="B169" s="103"/>
      <c r="C169" s="103"/>
      <c r="D169" s="103"/>
      <c r="E169" s="103"/>
      <c r="F169" s="103"/>
    </row>
    <row r="170" spans="1:6" ht="15.75">
      <c r="A170" s="103"/>
      <c r="B170" s="103"/>
      <c r="C170" s="103"/>
      <c r="D170" s="103"/>
      <c r="E170" s="103"/>
      <c r="F170" s="103"/>
    </row>
    <row r="171" spans="1:6" ht="15.75">
      <c r="A171" s="103"/>
      <c r="B171" s="103"/>
      <c r="C171" s="103"/>
      <c r="D171" s="103"/>
      <c r="E171" s="103"/>
      <c r="F171" s="103"/>
    </row>
    <row r="172" spans="1:6" ht="15.75">
      <c r="A172" s="103"/>
      <c r="B172" s="103"/>
      <c r="C172" s="103"/>
      <c r="D172" s="103"/>
      <c r="E172" s="103"/>
      <c r="F172" s="103"/>
    </row>
    <row r="173" spans="1:6" ht="15.75">
      <c r="A173" s="103"/>
      <c r="B173" s="103"/>
      <c r="C173" s="103"/>
      <c r="D173" s="103"/>
      <c r="E173" s="103"/>
      <c r="F173" s="103"/>
    </row>
    <row r="174" spans="1:6" ht="15.75">
      <c r="A174" s="103"/>
      <c r="B174" s="103"/>
      <c r="C174" s="103"/>
      <c r="D174" s="103"/>
      <c r="E174" s="103"/>
      <c r="F174" s="103"/>
    </row>
    <row r="175" spans="1:6" ht="15.75">
      <c r="A175" s="103"/>
      <c r="B175" s="103"/>
      <c r="C175" s="103"/>
      <c r="D175" s="103"/>
      <c r="E175" s="103"/>
      <c r="F175" s="103"/>
    </row>
    <row r="176" spans="1:6" ht="15.75">
      <c r="A176" s="103"/>
      <c r="B176" s="103"/>
      <c r="C176" s="103"/>
      <c r="D176" s="103"/>
      <c r="E176" s="103"/>
      <c r="F176" s="103"/>
    </row>
    <row r="177" spans="1:6" ht="15.75">
      <c r="A177" s="103"/>
      <c r="B177" s="103"/>
      <c r="C177" s="103"/>
      <c r="D177" s="103"/>
      <c r="E177" s="103"/>
      <c r="F177" s="103"/>
    </row>
    <row r="178" spans="1:6" ht="15.75">
      <c r="A178" s="103"/>
      <c r="B178" s="103"/>
      <c r="C178" s="103"/>
      <c r="D178" s="103"/>
      <c r="E178" s="103"/>
      <c r="F178" s="103"/>
    </row>
    <row r="179" spans="1:6" ht="15.75">
      <c r="A179" s="103"/>
      <c r="B179" s="103"/>
      <c r="C179" s="103"/>
      <c r="D179" s="103"/>
      <c r="E179" s="103"/>
      <c r="F179" s="103"/>
    </row>
    <row r="180" spans="1:6" ht="15.75">
      <c r="A180" s="103"/>
      <c r="B180" s="103"/>
      <c r="C180" s="103"/>
      <c r="D180" s="103"/>
      <c r="E180" s="103"/>
      <c r="F180" s="103"/>
    </row>
    <row r="181" spans="1:6" ht="15.75">
      <c r="A181" s="103"/>
      <c r="B181" s="103"/>
      <c r="C181" s="103"/>
      <c r="D181" s="103"/>
      <c r="E181" s="103"/>
      <c r="F181" s="103"/>
    </row>
    <row r="182" spans="1:6" ht="15.75">
      <c r="A182" s="103"/>
      <c r="B182" s="103"/>
      <c r="C182" s="103"/>
      <c r="D182" s="103"/>
      <c r="E182" s="103"/>
      <c r="F182" s="103"/>
    </row>
    <row r="183" spans="1:6" ht="15.75">
      <c r="A183" s="103"/>
      <c r="B183" s="103"/>
      <c r="C183" s="103"/>
      <c r="D183" s="103"/>
      <c r="E183" s="103"/>
      <c r="F183" s="103"/>
    </row>
    <row r="184" spans="1:6" ht="15.75">
      <c r="A184" s="103"/>
      <c r="B184" s="103"/>
      <c r="C184" s="103"/>
      <c r="D184" s="103"/>
      <c r="E184" s="103"/>
      <c r="F184" s="103"/>
    </row>
    <row r="185" spans="1:6" ht="15.75">
      <c r="A185" s="103"/>
      <c r="B185" s="103"/>
      <c r="C185" s="103"/>
      <c r="D185" s="103"/>
      <c r="E185" s="103"/>
      <c r="F185" s="103"/>
    </row>
    <row r="186" spans="1:6" ht="15.75">
      <c r="A186" s="103"/>
      <c r="B186" s="103"/>
      <c r="C186" s="103"/>
      <c r="D186" s="103"/>
      <c r="E186" s="103"/>
      <c r="F186" s="103"/>
    </row>
    <row r="187" spans="1:6" ht="15.75">
      <c r="A187" s="103"/>
      <c r="B187" s="103"/>
      <c r="C187" s="103"/>
      <c r="D187" s="103"/>
      <c r="E187" s="103"/>
      <c r="F187" s="103"/>
    </row>
    <row r="188" spans="1:6" ht="15.75">
      <c r="A188" s="103"/>
      <c r="B188" s="103"/>
      <c r="C188" s="103"/>
      <c r="D188" s="103"/>
      <c r="E188" s="103"/>
      <c r="F188" s="103"/>
    </row>
    <row r="189" spans="1:6" ht="15.75">
      <c r="A189" s="103"/>
      <c r="B189" s="103"/>
      <c r="C189" s="103"/>
      <c r="D189" s="103"/>
      <c r="E189" s="103"/>
      <c r="F189" s="103"/>
    </row>
    <row r="190" spans="1:6" ht="15.75">
      <c r="A190" s="103"/>
      <c r="B190" s="103"/>
      <c r="C190" s="103"/>
      <c r="D190" s="103"/>
      <c r="E190" s="103"/>
      <c r="F190" s="103"/>
    </row>
    <row r="191" spans="1:6" ht="15.75">
      <c r="A191" s="103"/>
      <c r="B191" s="103"/>
      <c r="C191" s="103"/>
      <c r="D191" s="103"/>
      <c r="E191" s="103"/>
      <c r="F191" s="103"/>
    </row>
    <row r="192" spans="1:6" ht="15.75">
      <c r="A192" s="103"/>
      <c r="B192" s="103"/>
      <c r="C192" s="103"/>
      <c r="D192" s="103"/>
      <c r="E192" s="103"/>
      <c r="F192" s="103"/>
    </row>
    <row r="193" spans="1:6" ht="15.75">
      <c r="A193" s="103"/>
      <c r="B193" s="103"/>
      <c r="C193" s="103"/>
      <c r="D193" s="103"/>
      <c r="E193" s="103"/>
      <c r="F193" s="103"/>
    </row>
    <row r="194" spans="1:6" ht="15.75">
      <c r="A194" s="103"/>
      <c r="B194" s="103"/>
      <c r="C194" s="103"/>
      <c r="D194" s="103"/>
      <c r="E194" s="103"/>
      <c r="F194" s="103"/>
    </row>
    <row r="195" spans="1:6" ht="15.75">
      <c r="A195" s="103"/>
      <c r="B195" s="103"/>
      <c r="C195" s="103"/>
      <c r="D195" s="103"/>
      <c r="E195" s="103"/>
      <c r="F195" s="103"/>
    </row>
    <row r="196" spans="1:6" ht="15.75">
      <c r="A196" s="103"/>
      <c r="B196" s="103"/>
      <c r="C196" s="103"/>
      <c r="D196" s="103"/>
      <c r="E196" s="103"/>
      <c r="F196" s="103"/>
    </row>
    <row r="197" spans="1:6" ht="15.75">
      <c r="A197" s="103"/>
      <c r="B197" s="103"/>
      <c r="C197" s="103"/>
      <c r="D197" s="103"/>
      <c r="E197" s="103"/>
      <c r="F197" s="103"/>
    </row>
    <row r="198" spans="1:6" ht="15.75">
      <c r="A198" s="103"/>
      <c r="B198" s="103"/>
      <c r="C198" s="103"/>
      <c r="D198" s="103"/>
      <c r="E198" s="103"/>
      <c r="F198" s="103"/>
    </row>
    <row r="199" spans="1:6" ht="15.75">
      <c r="A199" s="103"/>
      <c r="B199" s="103"/>
      <c r="C199" s="103"/>
      <c r="D199" s="103"/>
      <c r="E199" s="103"/>
      <c r="F199" s="103"/>
    </row>
    <row r="200" spans="1:6" ht="15.75">
      <c r="A200" s="103"/>
      <c r="B200" s="103"/>
      <c r="C200" s="103"/>
      <c r="D200" s="103"/>
      <c r="E200" s="103"/>
      <c r="F200" s="103"/>
    </row>
    <row r="201" spans="1:6" ht="15.75">
      <c r="A201" s="103"/>
      <c r="B201" s="103"/>
      <c r="C201" s="103"/>
      <c r="D201" s="103"/>
      <c r="E201" s="103"/>
      <c r="F201" s="103"/>
    </row>
    <row r="202" spans="1:6" ht="15.75">
      <c r="A202" s="103"/>
      <c r="B202" s="103"/>
      <c r="C202" s="103"/>
      <c r="D202" s="103"/>
      <c r="E202" s="103"/>
      <c r="F202" s="103"/>
    </row>
    <row r="203" spans="1:6" ht="15.75">
      <c r="A203" s="103"/>
      <c r="B203" s="103"/>
      <c r="C203" s="103"/>
      <c r="D203" s="103"/>
      <c r="E203" s="103"/>
      <c r="F203" s="103"/>
    </row>
    <row r="204" spans="1:6" ht="15.75">
      <c r="A204" s="103"/>
      <c r="B204" s="103"/>
      <c r="C204" s="103"/>
      <c r="D204" s="103"/>
      <c r="E204" s="103"/>
      <c r="F204" s="103"/>
    </row>
    <row r="205" spans="1:6" ht="15.75">
      <c r="A205" s="103"/>
      <c r="B205" s="103"/>
      <c r="C205" s="103"/>
      <c r="D205" s="103"/>
      <c r="E205" s="103"/>
      <c r="F205" s="103"/>
    </row>
    <row r="206" spans="1:6" ht="15.75">
      <c r="A206" s="103"/>
      <c r="B206" s="103"/>
      <c r="C206" s="103"/>
      <c r="D206" s="103"/>
      <c r="E206" s="103"/>
      <c r="F206" s="103"/>
    </row>
    <row r="207" spans="1:6" ht="15.75">
      <c r="A207" s="103"/>
      <c r="B207" s="103"/>
      <c r="C207" s="103"/>
      <c r="D207" s="103"/>
      <c r="E207" s="103"/>
      <c r="F207" s="103"/>
    </row>
    <row r="208" spans="1:6" ht="15.75">
      <c r="A208" s="103"/>
      <c r="B208" s="103"/>
      <c r="C208" s="103"/>
      <c r="D208" s="103"/>
      <c r="E208" s="103"/>
      <c r="F208" s="103"/>
    </row>
    <row r="209" spans="1:6" ht="15.75">
      <c r="A209" s="103"/>
      <c r="B209" s="103"/>
      <c r="C209" s="103"/>
      <c r="D209" s="103"/>
      <c r="E209" s="103"/>
      <c r="F209" s="103"/>
    </row>
    <row r="210" spans="1:6" ht="15.75">
      <c r="A210" s="103"/>
      <c r="B210" s="103"/>
      <c r="C210" s="103"/>
      <c r="D210" s="103"/>
      <c r="E210" s="103"/>
      <c r="F210" s="103"/>
    </row>
    <row r="211" spans="1:6" ht="15.75">
      <c r="A211" s="103"/>
      <c r="B211" s="103"/>
      <c r="C211" s="103"/>
      <c r="D211" s="103"/>
      <c r="E211" s="103"/>
      <c r="F211" s="103"/>
    </row>
    <row r="212" spans="1:6" ht="15.75">
      <c r="A212" s="103"/>
      <c r="B212" s="103"/>
      <c r="C212" s="103"/>
      <c r="D212" s="103"/>
      <c r="E212" s="103"/>
      <c r="F212" s="103"/>
    </row>
    <row r="213" spans="1:6" ht="15.75">
      <c r="A213" s="103"/>
      <c r="B213" s="103"/>
      <c r="C213" s="103"/>
      <c r="D213" s="103"/>
      <c r="E213" s="103"/>
      <c r="F213" s="103"/>
    </row>
    <row r="214" spans="1:6" ht="15.75">
      <c r="A214" s="103"/>
      <c r="B214" s="103"/>
      <c r="C214" s="103"/>
      <c r="D214" s="103"/>
      <c r="E214" s="103"/>
      <c r="F214" s="103"/>
    </row>
    <row r="215" spans="1:6" ht="15.75">
      <c r="A215" s="103"/>
      <c r="B215" s="103"/>
      <c r="C215" s="103"/>
      <c r="D215" s="103"/>
      <c r="E215" s="103"/>
      <c r="F215" s="103"/>
    </row>
    <row r="216" spans="1:6" ht="15.75">
      <c r="A216" s="103"/>
      <c r="B216" s="103"/>
      <c r="C216" s="103"/>
      <c r="D216" s="103"/>
      <c r="E216" s="103"/>
      <c r="F216" s="103"/>
    </row>
    <row r="217" spans="1:6" ht="15.75">
      <c r="A217" s="103"/>
      <c r="B217" s="103"/>
      <c r="C217" s="103"/>
      <c r="D217" s="103"/>
      <c r="E217" s="103"/>
      <c r="F217" s="103"/>
    </row>
    <row r="218" spans="1:6" ht="15.75">
      <c r="A218" s="103"/>
      <c r="B218" s="103"/>
      <c r="C218" s="103"/>
      <c r="D218" s="103"/>
      <c r="E218" s="103"/>
      <c r="F218" s="103"/>
    </row>
    <row r="219" spans="1:6" ht="15.75">
      <c r="A219" s="103"/>
      <c r="B219" s="103"/>
      <c r="C219" s="103"/>
      <c r="D219" s="103"/>
      <c r="E219" s="103"/>
      <c r="F219" s="103"/>
    </row>
    <row r="220" spans="1:6" ht="15.75">
      <c r="A220" s="103"/>
      <c r="B220" s="103"/>
      <c r="C220" s="103"/>
      <c r="D220" s="103"/>
      <c r="E220" s="103"/>
      <c r="F220" s="103"/>
    </row>
    <row r="221" spans="1:6" ht="15.75">
      <c r="A221" s="103"/>
      <c r="B221" s="103"/>
      <c r="C221" s="103"/>
      <c r="D221" s="103"/>
      <c r="E221" s="103"/>
      <c r="F221" s="103"/>
    </row>
    <row r="222" spans="1:6" ht="15.75">
      <c r="A222" s="103"/>
      <c r="B222" s="103"/>
      <c r="C222" s="103"/>
      <c r="D222" s="103"/>
      <c r="E222" s="103"/>
      <c r="F222" s="103"/>
    </row>
    <row r="223" spans="1:6" ht="15.75">
      <c r="A223" s="103"/>
      <c r="B223" s="103"/>
      <c r="C223" s="103"/>
      <c r="D223" s="103"/>
      <c r="E223" s="103"/>
      <c r="F223" s="103"/>
    </row>
    <row r="224" spans="1:6" ht="15.75">
      <c r="A224" s="103"/>
      <c r="B224" s="103"/>
      <c r="C224" s="103"/>
      <c r="D224" s="103"/>
      <c r="E224" s="103"/>
      <c r="F224" s="103"/>
    </row>
    <row r="225" spans="1:6" ht="15.75">
      <c r="A225" s="103"/>
      <c r="B225" s="103"/>
      <c r="C225" s="103"/>
      <c r="D225" s="103"/>
      <c r="E225" s="103"/>
      <c r="F225" s="103"/>
    </row>
    <row r="226" spans="1:6" ht="15.75">
      <c r="A226" s="103"/>
      <c r="B226" s="103"/>
      <c r="C226" s="103"/>
      <c r="D226" s="103"/>
      <c r="E226" s="103"/>
      <c r="F226" s="103"/>
    </row>
    <row r="227" spans="1:6" ht="15.75">
      <c r="A227" s="103"/>
      <c r="B227" s="103"/>
      <c r="C227" s="103"/>
      <c r="D227" s="103"/>
      <c r="E227" s="103"/>
      <c r="F227" s="103"/>
    </row>
    <row r="228" spans="1:6" ht="15.75">
      <c r="A228" s="103"/>
      <c r="B228" s="103"/>
      <c r="C228" s="103"/>
      <c r="D228" s="103"/>
      <c r="E228" s="103"/>
      <c r="F228" s="103"/>
    </row>
    <row r="229" spans="1:6" ht="15.75">
      <c r="A229" s="103"/>
      <c r="B229" s="103"/>
      <c r="C229" s="103"/>
      <c r="D229" s="103"/>
      <c r="E229" s="103"/>
      <c r="F229" s="103"/>
    </row>
    <row r="230" spans="1:6" ht="15.75">
      <c r="A230" s="103"/>
      <c r="B230" s="103"/>
      <c r="C230" s="103"/>
      <c r="D230" s="103"/>
      <c r="E230" s="103"/>
      <c r="F230" s="103"/>
    </row>
    <row r="231" spans="1:6" ht="15.75">
      <c r="A231" s="103"/>
      <c r="B231" s="103"/>
      <c r="C231" s="103"/>
      <c r="D231" s="103"/>
      <c r="E231" s="103"/>
      <c r="F231" s="103"/>
    </row>
    <row r="232" spans="1:6" ht="15.75">
      <c r="A232" s="103"/>
      <c r="B232" s="103"/>
      <c r="C232" s="103"/>
      <c r="D232" s="103"/>
      <c r="E232" s="103"/>
      <c r="F232" s="103"/>
    </row>
    <row r="233" spans="1:6" ht="15.75">
      <c r="A233" s="103"/>
      <c r="B233" s="103"/>
      <c r="C233" s="103"/>
      <c r="D233" s="103"/>
      <c r="E233" s="103"/>
      <c r="F233" s="103"/>
    </row>
    <row r="234" spans="1:6" ht="15.75">
      <c r="A234" s="103"/>
      <c r="B234" s="103"/>
      <c r="C234" s="103"/>
      <c r="D234" s="103"/>
      <c r="E234" s="103"/>
      <c r="F234" s="103"/>
    </row>
    <row r="235" spans="1:6" ht="15.75">
      <c r="A235" s="103"/>
      <c r="B235" s="103"/>
      <c r="C235" s="103"/>
      <c r="D235" s="103"/>
      <c r="E235" s="103"/>
      <c r="F235" s="103"/>
    </row>
    <row r="236" spans="1:6" ht="15.75">
      <c r="A236" s="103"/>
      <c r="B236" s="103"/>
      <c r="C236" s="103"/>
      <c r="D236" s="103"/>
      <c r="E236" s="103"/>
      <c r="F236" s="103"/>
    </row>
    <row r="237" spans="1:6" ht="15.75">
      <c r="A237" s="103"/>
      <c r="B237" s="103"/>
      <c r="C237" s="103"/>
      <c r="D237" s="103"/>
      <c r="E237" s="103"/>
      <c r="F237" s="103"/>
    </row>
    <row r="238" spans="1:6" ht="15.75">
      <c r="A238" s="103"/>
      <c r="B238" s="103"/>
      <c r="C238" s="103"/>
      <c r="D238" s="103"/>
      <c r="E238" s="103"/>
      <c r="F238" s="103"/>
    </row>
    <row r="239" spans="1:6" ht="15.75">
      <c r="A239" s="103"/>
      <c r="B239" s="103"/>
      <c r="C239" s="103"/>
      <c r="D239" s="103"/>
      <c r="E239" s="103"/>
      <c r="F239" s="103"/>
    </row>
    <row r="240" spans="1:6" ht="15.75">
      <c r="A240" s="103"/>
      <c r="B240" s="103"/>
      <c r="C240" s="103"/>
      <c r="D240" s="103"/>
      <c r="E240" s="103"/>
      <c r="F240" s="103"/>
    </row>
    <row r="241" spans="1:6" ht="15.75">
      <c r="A241" s="103"/>
      <c r="B241" s="103"/>
      <c r="C241" s="103"/>
      <c r="D241" s="103"/>
      <c r="E241" s="103"/>
      <c r="F241" s="103"/>
    </row>
    <row r="242" spans="1:6" ht="15.75">
      <c r="A242" s="103"/>
      <c r="B242" s="103"/>
      <c r="C242" s="103"/>
      <c r="D242" s="103"/>
      <c r="E242" s="103"/>
      <c r="F242" s="103"/>
    </row>
    <row r="243" spans="1:6" ht="15.75">
      <c r="A243" s="103"/>
      <c r="B243" s="103"/>
      <c r="C243" s="103"/>
      <c r="D243" s="103"/>
      <c r="E243" s="103"/>
      <c r="F243" s="103"/>
    </row>
    <row r="244" spans="1:6" ht="15.75">
      <c r="A244" s="103"/>
      <c r="B244" s="103"/>
      <c r="C244" s="103"/>
      <c r="D244" s="103"/>
      <c r="E244" s="103"/>
      <c r="F244" s="103"/>
    </row>
    <row r="245" spans="1:6" ht="15.75">
      <c r="A245" s="103"/>
      <c r="B245" s="103"/>
      <c r="C245" s="103"/>
      <c r="D245" s="103"/>
      <c r="E245" s="103"/>
      <c r="F245" s="103"/>
    </row>
    <row r="246" spans="1:6" ht="15.75">
      <c r="A246" s="103"/>
      <c r="B246" s="103"/>
      <c r="C246" s="103"/>
      <c r="D246" s="103"/>
      <c r="E246" s="103"/>
      <c r="F246" s="103"/>
    </row>
    <row r="247" spans="1:6" ht="15.75">
      <c r="A247" s="103"/>
      <c r="B247" s="103"/>
      <c r="C247" s="103"/>
      <c r="D247" s="103"/>
      <c r="E247" s="103"/>
      <c r="F247" s="103"/>
    </row>
    <row r="248" spans="1:6" ht="15.75">
      <c r="A248" s="103"/>
      <c r="B248" s="103"/>
      <c r="C248" s="103"/>
      <c r="D248" s="103"/>
      <c r="E248" s="103"/>
      <c r="F248" s="103"/>
    </row>
    <row r="249" spans="1:6" ht="15.75">
      <c r="A249" s="103"/>
      <c r="B249" s="103"/>
      <c r="C249" s="103"/>
      <c r="D249" s="103"/>
      <c r="E249" s="103"/>
      <c r="F249" s="103"/>
    </row>
    <row r="250" spans="1:6" ht="15.75">
      <c r="A250" s="103"/>
      <c r="B250" s="103"/>
      <c r="C250" s="103"/>
      <c r="D250" s="103"/>
      <c r="E250" s="103"/>
      <c r="F250" s="103"/>
    </row>
    <row r="251" spans="1:6" ht="15.75">
      <c r="A251" s="103"/>
      <c r="B251" s="103"/>
      <c r="C251" s="103"/>
      <c r="D251" s="103"/>
      <c r="E251" s="103"/>
      <c r="F251" s="103"/>
    </row>
    <row r="252" spans="1:6" ht="15.75">
      <c r="A252" s="103"/>
      <c r="B252" s="103"/>
      <c r="C252" s="103"/>
      <c r="D252" s="103"/>
      <c r="E252" s="103"/>
      <c r="F252" s="103"/>
    </row>
    <row r="253" spans="1:6" ht="15.75">
      <c r="A253" s="103"/>
      <c r="B253" s="103"/>
      <c r="C253" s="103"/>
      <c r="D253" s="103"/>
      <c r="E253" s="103"/>
      <c r="F253" s="103"/>
    </row>
    <row r="254" spans="1:6" ht="15.75">
      <c r="A254" s="103"/>
      <c r="B254" s="103"/>
      <c r="C254" s="103"/>
      <c r="D254" s="103"/>
      <c r="E254" s="103"/>
      <c r="F254" s="103"/>
    </row>
    <row r="255" spans="1:6" ht="15.75">
      <c r="A255" s="103"/>
      <c r="B255" s="103"/>
      <c r="C255" s="103"/>
      <c r="D255" s="103"/>
      <c r="E255" s="103"/>
      <c r="F255" s="103"/>
    </row>
    <row r="256" spans="1:6" ht="15.75">
      <c r="A256" s="103"/>
      <c r="B256" s="103"/>
      <c r="C256" s="103"/>
      <c r="D256" s="103"/>
      <c r="E256" s="103"/>
      <c r="F256" s="103"/>
    </row>
    <row r="257" spans="1:6" ht="15.75">
      <c r="A257" s="103"/>
      <c r="B257" s="103"/>
      <c r="C257" s="103"/>
      <c r="D257" s="103"/>
      <c r="E257" s="103"/>
      <c r="F257" s="103"/>
    </row>
    <row r="258" spans="1:6" ht="15.75">
      <c r="A258" s="103"/>
      <c r="B258" s="103"/>
      <c r="C258" s="103"/>
      <c r="D258" s="103"/>
      <c r="E258" s="103"/>
      <c r="F258" s="103"/>
    </row>
    <row r="259" spans="1:6" ht="15.75">
      <c r="A259" s="103"/>
      <c r="B259" s="103"/>
      <c r="C259" s="103"/>
      <c r="D259" s="103"/>
      <c r="E259" s="103"/>
      <c r="F259" s="103"/>
    </row>
    <row r="260" spans="1:6" ht="15.75">
      <c r="A260" s="103"/>
      <c r="B260" s="103"/>
      <c r="C260" s="103"/>
      <c r="D260" s="103"/>
      <c r="E260" s="103"/>
      <c r="F260" s="103"/>
    </row>
    <row r="261" spans="1:6" ht="15.75">
      <c r="A261" s="103"/>
      <c r="B261" s="103"/>
      <c r="C261" s="103"/>
      <c r="D261" s="103"/>
      <c r="E261" s="103"/>
      <c r="F261" s="103"/>
    </row>
    <row r="262" spans="1:6" ht="15.75">
      <c r="A262" s="103"/>
      <c r="B262" s="103"/>
      <c r="C262" s="103"/>
      <c r="D262" s="103"/>
      <c r="E262" s="103"/>
      <c r="F262" s="103"/>
    </row>
    <row r="263" spans="1:6" ht="15.75">
      <c r="A263" s="103"/>
      <c r="B263" s="103"/>
      <c r="C263" s="103"/>
      <c r="D263" s="103"/>
      <c r="E263" s="103"/>
      <c r="F263" s="103"/>
    </row>
    <row r="264" spans="1:6" ht="15.75">
      <c r="A264" s="103"/>
      <c r="B264" s="103"/>
      <c r="C264" s="103"/>
      <c r="D264" s="103"/>
      <c r="E264" s="103"/>
      <c r="F264" s="103"/>
    </row>
    <row r="265" spans="1:6" ht="15.75">
      <c r="A265" s="103"/>
      <c r="B265" s="103"/>
      <c r="C265" s="103"/>
      <c r="D265" s="103"/>
      <c r="E265" s="103"/>
      <c r="F265" s="103"/>
    </row>
    <row r="266" spans="1:6" ht="15.75">
      <c r="A266" s="103"/>
      <c r="B266" s="103"/>
      <c r="C266" s="103"/>
      <c r="D266" s="103"/>
      <c r="E266" s="103"/>
      <c r="F266" s="103"/>
    </row>
    <row r="267" spans="1:6" ht="15.75">
      <c r="A267" s="103"/>
      <c r="B267" s="103"/>
      <c r="C267" s="103"/>
      <c r="D267" s="103"/>
      <c r="E267" s="103"/>
      <c r="F267" s="103"/>
    </row>
    <row r="268" spans="1:6" ht="15.75">
      <c r="A268" s="103"/>
      <c r="B268" s="103"/>
      <c r="C268" s="103"/>
      <c r="D268" s="103"/>
      <c r="E268" s="103"/>
      <c r="F268" s="103"/>
    </row>
    <row r="269" spans="1:6" ht="15.75">
      <c r="A269" s="103"/>
      <c r="B269" s="103"/>
      <c r="C269" s="103"/>
      <c r="D269" s="103"/>
      <c r="E269" s="103"/>
      <c r="F269" s="103"/>
    </row>
    <row r="270" spans="1:6" ht="15.75">
      <c r="A270" s="103"/>
      <c r="B270" s="103"/>
      <c r="C270" s="103"/>
      <c r="D270" s="103"/>
      <c r="E270" s="103"/>
      <c r="F270" s="103"/>
    </row>
    <row r="271" spans="1:6" ht="15.75">
      <c r="A271" s="103"/>
      <c r="B271" s="103"/>
      <c r="C271" s="103"/>
      <c r="D271" s="103"/>
      <c r="E271" s="103"/>
      <c r="F271" s="103"/>
    </row>
    <row r="272" spans="1:6" ht="15.75">
      <c r="A272" s="103"/>
      <c r="B272" s="103"/>
      <c r="C272" s="103"/>
      <c r="D272" s="103"/>
      <c r="E272" s="103"/>
      <c r="F272" s="103"/>
    </row>
    <row r="273" spans="1:6" ht="15.75">
      <c r="A273" s="103"/>
      <c r="B273" s="103"/>
      <c r="C273" s="103"/>
      <c r="D273" s="103"/>
      <c r="E273" s="103"/>
      <c r="F273" s="103"/>
    </row>
    <row r="274" spans="1:6" ht="15.75">
      <c r="A274" s="103"/>
      <c r="B274" s="103"/>
      <c r="C274" s="103"/>
      <c r="D274" s="103"/>
      <c r="E274" s="103"/>
      <c r="F274" s="103"/>
    </row>
    <row r="275" spans="1:6" ht="15.75">
      <c r="A275" s="103"/>
      <c r="B275" s="103"/>
      <c r="C275" s="103"/>
      <c r="D275" s="103"/>
      <c r="E275" s="103"/>
      <c r="F275" s="103"/>
    </row>
    <row r="276" spans="1:6" ht="15.75">
      <c r="A276" s="103"/>
      <c r="B276" s="103"/>
      <c r="C276" s="103"/>
      <c r="D276" s="103"/>
      <c r="E276" s="103"/>
      <c r="F276" s="103"/>
    </row>
    <row r="277" spans="1:6" ht="15.75">
      <c r="A277" s="103"/>
      <c r="B277" s="103"/>
      <c r="C277" s="103"/>
      <c r="D277" s="103"/>
      <c r="E277" s="103"/>
      <c r="F277" s="103"/>
    </row>
    <row r="278" spans="1:6" ht="15.75">
      <c r="A278" s="103"/>
      <c r="B278" s="103"/>
      <c r="C278" s="103"/>
      <c r="D278" s="103"/>
      <c r="E278" s="103"/>
      <c r="F278" s="103"/>
    </row>
    <row r="279" spans="1:6" ht="15.75">
      <c r="A279" s="103"/>
      <c r="B279" s="103"/>
      <c r="C279" s="103"/>
      <c r="D279" s="103"/>
      <c r="E279" s="103"/>
      <c r="F279" s="103"/>
    </row>
    <row r="280" spans="1:6" ht="15.75">
      <c r="A280" s="103"/>
      <c r="B280" s="103"/>
      <c r="C280" s="103"/>
      <c r="D280" s="103"/>
      <c r="E280" s="103"/>
      <c r="F280" s="103"/>
    </row>
    <row r="281" spans="1:6" ht="15.75">
      <c r="A281" s="103"/>
      <c r="B281" s="103"/>
      <c r="C281" s="103"/>
      <c r="D281" s="103"/>
      <c r="E281" s="103"/>
      <c r="F281" s="103"/>
    </row>
    <row r="282" spans="1:6" ht="15.75">
      <c r="A282" s="103"/>
      <c r="B282" s="103"/>
      <c r="C282" s="103"/>
      <c r="D282" s="103"/>
      <c r="E282" s="103"/>
      <c r="F282" s="103"/>
    </row>
    <row r="283" spans="1:6" ht="15.75">
      <c r="A283" s="103"/>
      <c r="B283" s="103"/>
      <c r="C283" s="103"/>
      <c r="D283" s="103"/>
      <c r="E283" s="103"/>
      <c r="F283" s="103"/>
    </row>
    <row r="284" spans="1:6" ht="15.75">
      <c r="A284" s="103"/>
      <c r="B284" s="103"/>
      <c r="C284" s="103"/>
      <c r="D284" s="103"/>
      <c r="E284" s="103"/>
      <c r="F284" s="103"/>
    </row>
    <row r="285" spans="1:6" ht="15.75">
      <c r="A285" s="103"/>
      <c r="B285" s="103"/>
      <c r="C285" s="103"/>
      <c r="D285" s="103"/>
      <c r="E285" s="103"/>
      <c r="F285" s="103"/>
    </row>
    <row r="286" spans="1:6" ht="15.75">
      <c r="A286" s="103"/>
      <c r="B286" s="103"/>
      <c r="C286" s="103"/>
      <c r="D286" s="103"/>
      <c r="E286" s="103"/>
      <c r="F286" s="103"/>
    </row>
    <row r="287" spans="1:6" ht="15.75">
      <c r="A287" s="103"/>
      <c r="B287" s="103"/>
      <c r="C287" s="103"/>
      <c r="D287" s="103"/>
      <c r="E287" s="103"/>
      <c r="F287" s="103"/>
    </row>
    <row r="288" spans="1:6" ht="15.75">
      <c r="A288" s="103"/>
      <c r="B288" s="103"/>
      <c r="C288" s="103"/>
      <c r="D288" s="103"/>
      <c r="E288" s="103"/>
      <c r="F288" s="103"/>
    </row>
    <row r="289" spans="1:6" ht="15.75">
      <c r="A289" s="103"/>
      <c r="B289" s="103"/>
      <c r="C289" s="103"/>
      <c r="D289" s="103"/>
      <c r="E289" s="103"/>
      <c r="F289" s="103"/>
    </row>
    <row r="290" spans="1:6" ht="15.75">
      <c r="A290" s="103"/>
      <c r="B290" s="103"/>
      <c r="C290" s="103"/>
      <c r="D290" s="103"/>
      <c r="E290" s="103"/>
      <c r="F290" s="103"/>
    </row>
    <row r="291" spans="1:6" ht="15.75">
      <c r="A291" s="103"/>
      <c r="B291" s="103"/>
      <c r="C291" s="103"/>
      <c r="D291" s="103"/>
      <c r="E291" s="103"/>
      <c r="F291" s="103"/>
    </row>
    <row r="292" spans="1:6" ht="15.75">
      <c r="A292" s="103"/>
      <c r="B292" s="103"/>
      <c r="C292" s="103"/>
      <c r="D292" s="103"/>
      <c r="E292" s="103"/>
      <c r="F292" s="103"/>
    </row>
    <row r="293" spans="1:6" ht="15.75">
      <c r="A293" s="103"/>
      <c r="B293" s="103"/>
      <c r="C293" s="103"/>
      <c r="D293" s="103"/>
      <c r="E293" s="103"/>
      <c r="F293" s="103"/>
    </row>
    <row r="294" spans="1:6" ht="15.75">
      <c r="A294" s="103"/>
      <c r="B294" s="103"/>
      <c r="C294" s="103"/>
      <c r="D294" s="103"/>
      <c r="E294" s="103"/>
      <c r="F294" s="103"/>
    </row>
    <row r="295" spans="1:6" ht="15.75">
      <c r="A295" s="103"/>
      <c r="B295" s="103"/>
      <c r="C295" s="103"/>
      <c r="D295" s="103"/>
      <c r="E295" s="103"/>
      <c r="F295" s="103"/>
    </row>
    <row r="296" spans="1:6" ht="15.75">
      <c r="A296" s="103"/>
      <c r="B296" s="103"/>
      <c r="C296" s="103"/>
      <c r="D296" s="103"/>
      <c r="E296" s="103"/>
      <c r="F296" s="103"/>
    </row>
    <row r="297" spans="1:6" ht="15.75">
      <c r="A297" s="103"/>
      <c r="B297" s="103"/>
      <c r="C297" s="103"/>
      <c r="D297" s="103"/>
      <c r="E297" s="103"/>
      <c r="F297" s="103"/>
    </row>
    <row r="298" spans="1:6" ht="15.75">
      <c r="A298" s="103"/>
      <c r="B298" s="103"/>
      <c r="C298" s="103"/>
      <c r="D298" s="103"/>
      <c r="E298" s="103"/>
      <c r="F298" s="103"/>
    </row>
    <row r="299" spans="1:6" ht="15.75">
      <c r="A299" s="103"/>
      <c r="B299" s="103"/>
      <c r="C299" s="103"/>
      <c r="D299" s="103"/>
      <c r="E299" s="103"/>
      <c r="F299" s="103"/>
    </row>
    <row r="300" spans="1:6" ht="15.75">
      <c r="A300" s="103"/>
      <c r="B300" s="103"/>
      <c r="C300" s="103"/>
      <c r="D300" s="103"/>
      <c r="E300" s="103"/>
      <c r="F300" s="103"/>
    </row>
    <row r="301" spans="1:6" ht="15.75">
      <c r="A301" s="103"/>
      <c r="B301" s="103"/>
      <c r="C301" s="103"/>
      <c r="D301" s="103"/>
      <c r="E301" s="103"/>
      <c r="F301" s="103"/>
    </row>
    <row r="302" spans="1:6" ht="15.75">
      <c r="A302" s="103"/>
      <c r="B302" s="103"/>
      <c r="C302" s="103"/>
      <c r="D302" s="103"/>
      <c r="E302" s="103"/>
      <c r="F302" s="103"/>
    </row>
    <row r="303" spans="1:6" ht="15.75">
      <c r="A303" s="103"/>
      <c r="B303" s="103"/>
      <c r="C303" s="103"/>
      <c r="D303" s="103"/>
      <c r="E303" s="103"/>
      <c r="F303" s="103"/>
    </row>
    <row r="304" spans="1:6" ht="15.75">
      <c r="A304" s="103"/>
      <c r="B304" s="103"/>
      <c r="C304" s="103"/>
      <c r="D304" s="103"/>
      <c r="E304" s="103"/>
      <c r="F304" s="103"/>
    </row>
  </sheetData>
  <mergeCells count="28">
    <mergeCell ref="A59:B59"/>
    <mergeCell ref="A60:B60"/>
    <mergeCell ref="A61:B61"/>
    <mergeCell ref="A62:B62"/>
    <mergeCell ref="A53:B53"/>
    <mergeCell ref="A54:B54"/>
    <mergeCell ref="A55:B55"/>
    <mergeCell ref="A56:B56"/>
    <mergeCell ref="A57:B57"/>
    <mergeCell ref="A58:B58"/>
    <mergeCell ref="A52:B52"/>
    <mergeCell ref="A19:B19"/>
    <mergeCell ref="A20:B20"/>
    <mergeCell ref="A21:B21"/>
    <mergeCell ref="A22:B22"/>
    <mergeCell ref="A23:B23"/>
    <mergeCell ref="A24:B24"/>
    <mergeCell ref="A46:F46"/>
    <mergeCell ref="A48:B48"/>
    <mergeCell ref="A49:B49"/>
    <mergeCell ref="A50:B50"/>
    <mergeCell ref="A51:B51"/>
    <mergeCell ref="A18:B18"/>
    <mergeCell ref="B3:D3"/>
    <mergeCell ref="A13:F13"/>
    <mergeCell ref="A14:F14"/>
    <mergeCell ref="A16:B16"/>
    <mergeCell ref="A17:B17"/>
  </mergeCells>
  <printOptions horizontalCentered="1"/>
  <pageMargins left="0.5" right="0.5" top="0.5" bottom="0.5" header="0.5" footer="0.5"/>
  <pageSetup orientation="portrait" r:id="rId1"/>
  <headerFooter alignWithMargins="0"/>
  <rowBreaks count="1" manualBreakCount="1">
    <brk id="8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7"/>
  <sheetViews>
    <sheetView topLeftCell="H13" zoomScaleNormal="100" workbookViewId="0">
      <selection activeCell="L49" sqref="L49:L61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7.625" style="2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4" style="2" bestFit="1" customWidth="1"/>
    <col min="12" max="12" width="13.125" style="2" bestFit="1" customWidth="1"/>
    <col min="13" max="13" width="10.25" style="2" customWidth="1"/>
    <col min="14" max="14" width="11.5" style="2" customWidth="1"/>
    <col min="15" max="15" width="11.875" style="2" customWidth="1"/>
    <col min="16" max="16" width="13.25" style="2" bestFit="1" customWidth="1"/>
    <col min="17" max="17" width="12.125" style="2" customWidth="1"/>
    <col min="18" max="18" width="12.5" style="2" bestFit="1" customWidth="1"/>
    <col min="19" max="19" width="13" style="2" customWidth="1"/>
    <col min="20" max="20" width="12.5" style="2" bestFit="1" customWidth="1"/>
    <col min="21" max="21" width="11.125" style="2" bestFit="1" customWidth="1"/>
    <col min="22" max="22" width="11.25" style="2" customWidth="1"/>
    <col min="23" max="23" width="12.625" style="2" customWidth="1"/>
    <col min="24" max="24" width="11.125" style="2" bestFit="1" customWidth="1"/>
    <col min="25" max="25" width="10.75" style="2" customWidth="1"/>
    <col min="26" max="26" width="12.5" style="2" bestFit="1" customWidth="1"/>
    <col min="27" max="27" width="10.875" style="2" customWidth="1"/>
    <col min="28" max="28" width="11.375" style="2" customWidth="1"/>
    <col min="29" max="29" width="11.75" style="2" customWidth="1"/>
    <col min="30" max="30" width="13" style="2" customWidth="1"/>
    <col min="31" max="31" width="9" style="2"/>
    <col min="32" max="32" width="11.125" style="2" customWidth="1"/>
    <col min="33" max="33" width="9" style="2"/>
    <col min="34" max="34" width="12.875" style="2" customWidth="1"/>
    <col min="35" max="16384" width="9" style="2"/>
  </cols>
  <sheetData>
    <row r="1" spans="1:29" ht="15.95" customHeight="1">
      <c r="E1" s="3"/>
      <c r="F1" s="3" t="s">
        <v>23</v>
      </c>
    </row>
    <row r="2" spans="1:29" ht="15.95" customHeight="1">
      <c r="E2" s="3"/>
      <c r="F2" s="3" t="s">
        <v>52</v>
      </c>
    </row>
    <row r="3" spans="1:29" ht="15.95" customHeight="1">
      <c r="B3" s="127" t="s">
        <v>41</v>
      </c>
      <c r="C3" s="127"/>
      <c r="D3" s="127"/>
      <c r="E3" s="3"/>
      <c r="F3" s="3" t="s">
        <v>53</v>
      </c>
    </row>
    <row r="4" spans="1:29" ht="15.95" customHeight="1">
      <c r="E4" s="3"/>
      <c r="F4" s="3" t="s">
        <v>54</v>
      </c>
    </row>
    <row r="5" spans="1:29" ht="15.95" customHeight="1">
      <c r="E5" s="3"/>
      <c r="F5" s="3" t="s">
        <v>24</v>
      </c>
    </row>
    <row r="6" spans="1:29" ht="15.75">
      <c r="A6" s="4"/>
      <c r="B6" s="4"/>
      <c r="C6" s="4"/>
      <c r="D6" s="5"/>
      <c r="E6" s="5"/>
      <c r="F6" s="4"/>
    </row>
    <row r="7" spans="1:29" ht="15.75">
      <c r="D7" s="3"/>
      <c r="E7" s="3"/>
    </row>
    <row r="8" spans="1:29" ht="19.5" customHeight="1">
      <c r="A8" s="6" t="s">
        <v>36</v>
      </c>
      <c r="B8" s="7" t="s">
        <v>37</v>
      </c>
    </row>
    <row r="9" spans="1:29" ht="19.5" customHeight="1">
      <c r="A9" s="6" t="s">
        <v>38</v>
      </c>
      <c r="B9" s="7" t="s">
        <v>93</v>
      </c>
    </row>
    <row r="10" spans="1:29" ht="19.5" customHeight="1">
      <c r="A10" s="6" t="s">
        <v>39</v>
      </c>
      <c r="B10" s="8">
        <v>41197</v>
      </c>
    </row>
    <row r="11" spans="1:29" ht="19.5" customHeight="1">
      <c r="A11" s="6" t="s">
        <v>40</v>
      </c>
      <c r="B11" s="7" t="s">
        <v>225</v>
      </c>
    </row>
    <row r="12" spans="1:29" ht="19.5" customHeight="1">
      <c r="A12" s="6"/>
      <c r="B12" s="7"/>
    </row>
    <row r="13" spans="1:29" ht="50.1" customHeight="1">
      <c r="A13" s="132"/>
      <c r="B13" s="132"/>
      <c r="C13" s="132"/>
      <c r="D13" s="132"/>
      <c r="E13" s="132"/>
      <c r="F13" s="132"/>
    </row>
    <row r="14" spans="1:29" ht="31.5" customHeight="1">
      <c r="A14" s="133" t="s">
        <v>172</v>
      </c>
      <c r="B14" s="133"/>
      <c r="C14" s="133"/>
      <c r="D14" s="133"/>
      <c r="E14" s="133"/>
      <c r="F14" s="133"/>
    </row>
    <row r="15" spans="1:29">
      <c r="K15" s="34"/>
      <c r="L15" s="34"/>
      <c r="M15" s="34"/>
      <c r="N15" s="34"/>
    </row>
    <row r="16" spans="1:29" ht="38.25">
      <c r="A16" s="134"/>
      <c r="B16" s="134"/>
      <c r="C16" s="9" t="s">
        <v>196</v>
      </c>
      <c r="D16" s="9" t="s">
        <v>226</v>
      </c>
      <c r="E16" s="9" t="s">
        <v>25</v>
      </c>
      <c r="F16" s="9" t="s">
        <v>146</v>
      </c>
      <c r="G16" s="10">
        <v>1</v>
      </c>
      <c r="H16" s="2" t="s">
        <v>42</v>
      </c>
      <c r="I16" s="10">
        <v>1</v>
      </c>
      <c r="K16" s="9" t="s">
        <v>196</v>
      </c>
      <c r="L16" s="9" t="s">
        <v>229</v>
      </c>
      <c r="M16" s="9">
        <v>2012</v>
      </c>
      <c r="N16" s="9" t="s">
        <v>151</v>
      </c>
      <c r="O16" s="9" t="s">
        <v>230</v>
      </c>
      <c r="P16" s="9" t="s">
        <v>192</v>
      </c>
      <c r="Q16" s="9">
        <v>2011</v>
      </c>
      <c r="R16" s="9" t="s">
        <v>94</v>
      </c>
      <c r="S16" s="9" t="s">
        <v>231</v>
      </c>
      <c r="T16" s="9" t="s">
        <v>193</v>
      </c>
      <c r="U16" s="9">
        <v>2010</v>
      </c>
      <c r="V16" s="9" t="s">
        <v>1</v>
      </c>
      <c r="W16" s="9" t="s">
        <v>147</v>
      </c>
      <c r="X16" s="9" t="s">
        <v>106</v>
      </c>
      <c r="Y16" s="9">
        <v>2009</v>
      </c>
      <c r="Z16" s="9" t="s">
        <v>104</v>
      </c>
      <c r="AA16" s="9" t="s">
        <v>232</v>
      </c>
      <c r="AB16" s="9" t="s">
        <v>107</v>
      </c>
      <c r="AC16" s="9">
        <v>2008</v>
      </c>
    </row>
    <row r="17" spans="1:29" ht="15.75" customHeight="1">
      <c r="A17" s="131" t="s">
        <v>26</v>
      </c>
      <c r="B17" s="131"/>
      <c r="C17" s="89">
        <f t="shared" ref="C17:D23" si="0">K17</f>
        <v>172920521</v>
      </c>
      <c r="D17" s="89">
        <f t="shared" si="0"/>
        <v>174969403</v>
      </c>
      <c r="E17" s="12">
        <f t="shared" ref="E17:E24" si="1">(D17/C17)</f>
        <v>1.0118486920358052</v>
      </c>
      <c r="F17" s="96">
        <f t="shared" ref="F17:F23" si="2">D17-G17</f>
        <v>2048882</v>
      </c>
      <c r="G17" s="14">
        <f>C17*1</f>
        <v>172920521</v>
      </c>
      <c r="H17" s="15">
        <v>0</v>
      </c>
      <c r="I17" s="10">
        <v>1</v>
      </c>
      <c r="J17" s="21" t="str">
        <f>A17</f>
        <v>Current / Delinquent Taxes</v>
      </c>
      <c r="K17" s="82">
        <v>172920521</v>
      </c>
      <c r="L17" s="82">
        <v>174969403</v>
      </c>
      <c r="M17" s="41">
        <f>L17/K17</f>
        <v>1.0118486920358052</v>
      </c>
      <c r="N17" s="82">
        <v>170741229</v>
      </c>
      <c r="O17" s="82">
        <v>170756658</v>
      </c>
      <c r="P17" s="82">
        <v>171396885</v>
      </c>
      <c r="Q17" s="41">
        <f>(O17/P17)</f>
        <v>0.9962646520676266</v>
      </c>
      <c r="R17" s="11">
        <v>175930506</v>
      </c>
      <c r="S17" s="11">
        <v>175146677.47</v>
      </c>
      <c r="T17" s="11">
        <v>175482441</v>
      </c>
      <c r="U17" s="12">
        <f>(S17/T17)</f>
        <v>0.99808662605736154</v>
      </c>
      <c r="V17" s="11">
        <f>'FY 2009 Rev 01-15-10'!E3</f>
        <v>173590951</v>
      </c>
      <c r="W17" s="11">
        <v>174579261.34</v>
      </c>
      <c r="X17" s="11">
        <v>174855279</v>
      </c>
      <c r="Y17" s="12">
        <f t="shared" ref="Y17:Y24" si="3">W17/X17</f>
        <v>0.99842145080446787</v>
      </c>
      <c r="Z17" s="11">
        <v>171068428</v>
      </c>
      <c r="AA17" s="11">
        <v>171077825.91999999</v>
      </c>
      <c r="AB17" s="11">
        <v>171033213</v>
      </c>
      <c r="AC17" s="12">
        <f t="shared" ref="AC17:AC24" si="4">AA17/AB17</f>
        <v>1.0002608436058555</v>
      </c>
    </row>
    <row r="18" spans="1:29" ht="15.75" customHeight="1">
      <c r="A18" s="131" t="s">
        <v>95</v>
      </c>
      <c r="B18" s="131"/>
      <c r="C18" s="16">
        <f t="shared" si="0"/>
        <v>280300</v>
      </c>
      <c r="D18" s="16">
        <f t="shared" si="0"/>
        <v>284759</v>
      </c>
      <c r="E18" s="12">
        <f>(D18/C18)</f>
        <v>1.0159079557616839</v>
      </c>
      <c r="F18" s="22">
        <f>D18-G18</f>
        <v>4459</v>
      </c>
      <c r="G18" s="14">
        <f t="shared" ref="G18:G24" si="5">C18*1</f>
        <v>280300</v>
      </c>
      <c r="H18" s="15">
        <v>0</v>
      </c>
      <c r="I18" s="10">
        <v>1</v>
      </c>
      <c r="J18" s="21" t="str">
        <f t="shared" ref="J18:J23" si="6">A18</f>
        <v>License / Permits</v>
      </c>
      <c r="K18" s="83">
        <v>280300</v>
      </c>
      <c r="L18" s="83">
        <f>4500+280259</f>
        <v>284759</v>
      </c>
      <c r="M18" s="41">
        <f t="shared" ref="M18:M23" si="7">L18/K18</f>
        <v>1.0159079557616839</v>
      </c>
      <c r="N18" s="83">
        <v>246000</v>
      </c>
      <c r="O18" s="83">
        <v>315483</v>
      </c>
      <c r="P18" s="83">
        <v>315483</v>
      </c>
      <c r="Q18" s="41">
        <f t="shared" ref="Q18:Q24" si="8">(O18/P18)</f>
        <v>1</v>
      </c>
      <c r="R18" s="16">
        <v>335854</v>
      </c>
      <c r="S18" s="28">
        <v>254648.6</v>
      </c>
      <c r="T18" s="28">
        <v>255670</v>
      </c>
      <c r="U18" s="12">
        <f t="shared" ref="U18:U24" si="9">(S18/T18)</f>
        <v>0.99600500645363166</v>
      </c>
      <c r="V18" s="28">
        <f>'FY 2009 Rev 01-15-10'!E6</f>
        <v>650650</v>
      </c>
      <c r="W18" s="28">
        <v>283482.13999999996</v>
      </c>
      <c r="X18" s="28">
        <f>'FY 2009 Rev 01-15-10'!D6</f>
        <v>283457.14</v>
      </c>
      <c r="Y18" s="12">
        <f t="shared" si="3"/>
        <v>1.0000881967552482</v>
      </c>
      <c r="Z18" s="28">
        <v>826700</v>
      </c>
      <c r="AA18" s="28">
        <v>653856.60000000009</v>
      </c>
      <c r="AB18" s="28">
        <v>653857</v>
      </c>
      <c r="AC18" s="12">
        <f t="shared" si="4"/>
        <v>0.99999938824544221</v>
      </c>
    </row>
    <row r="19" spans="1:29" ht="15.75" customHeight="1">
      <c r="A19" s="131" t="s">
        <v>51</v>
      </c>
      <c r="B19" s="131"/>
      <c r="C19" s="16">
        <f t="shared" si="0"/>
        <v>9897851</v>
      </c>
      <c r="D19" s="16">
        <f t="shared" si="0"/>
        <v>17199366</v>
      </c>
      <c r="E19" s="12">
        <f t="shared" si="1"/>
        <v>1.7376868978932902</v>
      </c>
      <c r="F19" s="22">
        <f t="shared" si="2"/>
        <v>7301515</v>
      </c>
      <c r="G19" s="14">
        <f t="shared" si="5"/>
        <v>9897851</v>
      </c>
      <c r="H19" s="27">
        <v>0</v>
      </c>
      <c r="I19" s="10">
        <v>1</v>
      </c>
      <c r="J19" s="21" t="str">
        <f t="shared" si="6"/>
        <v>Intergovernmental Revenue</v>
      </c>
      <c r="K19" s="83">
        <v>9897851</v>
      </c>
      <c r="L19" s="83">
        <f>2168128-27854+416862+839384+11729980+2072866</f>
        <v>17199366</v>
      </c>
      <c r="M19" s="41">
        <f t="shared" si="7"/>
        <v>1.7376868978932902</v>
      </c>
      <c r="N19" s="83">
        <v>10310296</v>
      </c>
      <c r="O19" s="83">
        <v>19224767</v>
      </c>
      <c r="P19" s="83">
        <v>20939933</v>
      </c>
      <c r="Q19" s="41">
        <f t="shared" si="8"/>
        <v>0.91809114193440833</v>
      </c>
      <c r="R19" s="16">
        <v>10763558</v>
      </c>
      <c r="S19" s="28">
        <v>32364689.369999997</v>
      </c>
      <c r="T19" s="28">
        <v>17592701</v>
      </c>
      <c r="U19" s="12">
        <f t="shared" si="9"/>
        <v>1.839665743764985</v>
      </c>
      <c r="V19" s="28">
        <f>'FY 2009 Rev 01-15-10'!E13</f>
        <v>9723482</v>
      </c>
      <c r="W19" s="28">
        <v>18387550.899999999</v>
      </c>
      <c r="X19" s="28">
        <v>18219983</v>
      </c>
      <c r="Y19" s="12">
        <f t="shared" si="3"/>
        <v>1.0091969295470802</v>
      </c>
      <c r="Z19" s="28">
        <v>14349223</v>
      </c>
      <c r="AA19" s="28">
        <v>16017505.82</v>
      </c>
      <c r="AB19" s="28">
        <v>14374024</v>
      </c>
      <c r="AC19" s="12">
        <f t="shared" si="4"/>
        <v>1.1143369330675947</v>
      </c>
    </row>
    <row r="20" spans="1:29" ht="15.75" customHeight="1">
      <c r="A20" s="131" t="s">
        <v>2</v>
      </c>
      <c r="B20" s="131"/>
      <c r="C20" s="16">
        <f t="shared" si="0"/>
        <v>39758436</v>
      </c>
      <c r="D20" s="16">
        <f t="shared" si="0"/>
        <v>40712538</v>
      </c>
      <c r="E20" s="12">
        <f t="shared" si="1"/>
        <v>1.0239974731400401</v>
      </c>
      <c r="F20" s="22">
        <f t="shared" si="2"/>
        <v>954102</v>
      </c>
      <c r="G20" s="14">
        <f t="shared" si="5"/>
        <v>39758436</v>
      </c>
      <c r="H20" s="27">
        <v>0</v>
      </c>
      <c r="I20" s="10">
        <v>1</v>
      </c>
      <c r="J20" s="21" t="str">
        <f t="shared" si="6"/>
        <v>Fees/Charges for Services</v>
      </c>
      <c r="K20" s="83">
        <v>39758436</v>
      </c>
      <c r="L20" s="83">
        <f>7598302+6605693+8502173+30860+4112432+13863078</f>
        <v>40712538</v>
      </c>
      <c r="M20" s="41">
        <f t="shared" si="7"/>
        <v>1.0239974731400401</v>
      </c>
      <c r="N20" s="83">
        <v>38925096</v>
      </c>
      <c r="O20" s="83">
        <v>38583245</v>
      </c>
      <c r="P20" s="83">
        <v>38970040</v>
      </c>
      <c r="Q20" s="41">
        <f t="shared" si="8"/>
        <v>0.99007455470920736</v>
      </c>
      <c r="R20" s="16">
        <v>40351226</v>
      </c>
      <c r="S20" s="28">
        <v>36866202.479999997</v>
      </c>
      <c r="T20" s="28">
        <v>37730335</v>
      </c>
      <c r="U20" s="12">
        <f t="shared" si="9"/>
        <v>0.97709714159707295</v>
      </c>
      <c r="V20" s="28">
        <f>'FY 2009 Rev 01-15-10'!E21</f>
        <v>38656872</v>
      </c>
      <c r="W20" s="28">
        <v>38118100.980000004</v>
      </c>
      <c r="X20" s="28">
        <v>38824924</v>
      </c>
      <c r="Y20" s="12">
        <f t="shared" si="3"/>
        <v>0.9817946064749542</v>
      </c>
      <c r="Z20" s="28">
        <v>34135331</v>
      </c>
      <c r="AA20" s="28">
        <v>39520826.650000006</v>
      </c>
      <c r="AB20" s="28">
        <v>39510792</v>
      </c>
      <c r="AC20" s="12">
        <f t="shared" si="4"/>
        <v>1.0002539723830393</v>
      </c>
    </row>
    <row r="21" spans="1:29" ht="15.75" customHeight="1">
      <c r="A21" s="131" t="s">
        <v>4</v>
      </c>
      <c r="B21" s="131"/>
      <c r="C21" s="16">
        <f t="shared" si="0"/>
        <v>3622500</v>
      </c>
      <c r="D21" s="16">
        <f t="shared" si="0"/>
        <v>4004514</v>
      </c>
      <c r="E21" s="12">
        <f t="shared" si="1"/>
        <v>1.105455900621118</v>
      </c>
      <c r="F21" s="22">
        <f t="shared" si="2"/>
        <v>382014</v>
      </c>
      <c r="G21" s="14">
        <f t="shared" si="5"/>
        <v>3622500</v>
      </c>
      <c r="H21" s="27">
        <v>0</v>
      </c>
      <c r="I21" s="10">
        <v>1</v>
      </c>
      <c r="J21" s="21" t="str">
        <f t="shared" si="6"/>
        <v>Fines</v>
      </c>
      <c r="K21" s="83">
        <v>3622500</v>
      </c>
      <c r="L21" s="83">
        <v>4004514</v>
      </c>
      <c r="M21" s="41">
        <f t="shared" si="7"/>
        <v>1.105455900621118</v>
      </c>
      <c r="N21" s="83">
        <v>3814000</v>
      </c>
      <c r="O21" s="83">
        <v>3808740</v>
      </c>
      <c r="P21" s="83">
        <v>3811745</v>
      </c>
      <c r="Q21" s="41">
        <f t="shared" si="8"/>
        <v>0.99921164715897837</v>
      </c>
      <c r="R21" s="16">
        <v>4596375</v>
      </c>
      <c r="S21" s="28">
        <v>3808418.44</v>
      </c>
      <c r="T21" s="28">
        <v>3846674</v>
      </c>
      <c r="U21" s="12">
        <f t="shared" si="9"/>
        <v>0.99005489937540847</v>
      </c>
      <c r="V21" s="28">
        <f>'FY 2009 Rev 01-15-10'!E23</f>
        <v>4675500</v>
      </c>
      <c r="W21" s="28">
        <v>4422052.07</v>
      </c>
      <c r="X21" s="28">
        <v>4484058</v>
      </c>
      <c r="Y21" s="12">
        <f t="shared" si="3"/>
        <v>0.98617191615273492</v>
      </c>
      <c r="Z21" s="28">
        <v>5009825</v>
      </c>
      <c r="AA21" s="28">
        <v>5028905.6099999994</v>
      </c>
      <c r="AB21" s="28">
        <v>5028906</v>
      </c>
      <c r="AC21" s="12">
        <f t="shared" si="4"/>
        <v>0.99999992244834157</v>
      </c>
    </row>
    <row r="22" spans="1:29" ht="15.75" customHeight="1">
      <c r="A22" s="131" t="s">
        <v>3</v>
      </c>
      <c r="B22" s="131"/>
      <c r="C22" s="16">
        <f t="shared" si="0"/>
        <v>3963042</v>
      </c>
      <c r="D22" s="16">
        <f t="shared" si="0"/>
        <v>2778600</v>
      </c>
      <c r="E22" s="12">
        <f t="shared" si="1"/>
        <v>0.70112807282890266</v>
      </c>
      <c r="F22" s="22">
        <f t="shared" si="2"/>
        <v>-1184442</v>
      </c>
      <c r="G22" s="14">
        <f t="shared" si="5"/>
        <v>3963042</v>
      </c>
      <c r="H22" s="27">
        <f>C22-D22</f>
        <v>1184442</v>
      </c>
      <c r="I22" s="10">
        <v>1</v>
      </c>
      <c r="J22" s="21" t="str">
        <f t="shared" si="6"/>
        <v>Investment Revenue</v>
      </c>
      <c r="K22" s="83">
        <v>3963042</v>
      </c>
      <c r="L22" s="83">
        <f>1413139+1365461</f>
        <v>2778600</v>
      </c>
      <c r="M22" s="41">
        <f t="shared" si="7"/>
        <v>0.70112807282890266</v>
      </c>
      <c r="N22" s="83">
        <v>3023647</v>
      </c>
      <c r="O22" s="83">
        <v>3762327</v>
      </c>
      <c r="P22" s="83">
        <v>4280332</v>
      </c>
      <c r="Q22" s="41">
        <f t="shared" si="8"/>
        <v>0.87898018191112282</v>
      </c>
      <c r="R22" s="16">
        <v>6218768</v>
      </c>
      <c r="S22" s="28">
        <v>5366504.47</v>
      </c>
      <c r="T22" s="28">
        <v>4363907</v>
      </c>
      <c r="U22" s="12">
        <f t="shared" si="9"/>
        <v>1.2297476710663173</v>
      </c>
      <c r="V22" s="28">
        <f>'FY 2009 Rev 01-15-10'!E26</f>
        <v>9130674</v>
      </c>
      <c r="W22" s="28">
        <v>8323258.3000000017</v>
      </c>
      <c r="X22" s="28">
        <v>6645972</v>
      </c>
      <c r="Y22" s="12">
        <f t="shared" si="3"/>
        <v>1.2523763717331342</v>
      </c>
      <c r="Z22" s="28">
        <v>13003197</v>
      </c>
      <c r="AA22" s="28">
        <v>17328876.469999999</v>
      </c>
      <c r="AB22" s="28">
        <v>12385827</v>
      </c>
      <c r="AC22" s="12">
        <f t="shared" si="4"/>
        <v>1.3990891742634544</v>
      </c>
    </row>
    <row r="23" spans="1:29" ht="15.75" customHeight="1" thickBot="1">
      <c r="A23" s="131" t="s">
        <v>27</v>
      </c>
      <c r="B23" s="131"/>
      <c r="C23" s="16">
        <f t="shared" si="0"/>
        <v>28888485</v>
      </c>
      <c r="D23" s="16">
        <f t="shared" si="0"/>
        <v>36546451</v>
      </c>
      <c r="E23" s="12">
        <f t="shared" si="1"/>
        <v>1.2650871445837328</v>
      </c>
      <c r="F23" s="22">
        <f t="shared" si="2"/>
        <v>7657966</v>
      </c>
      <c r="G23" s="14">
        <f t="shared" si="5"/>
        <v>28888485</v>
      </c>
      <c r="H23" s="27">
        <v>0</v>
      </c>
      <c r="I23" s="10">
        <v>1</v>
      </c>
      <c r="J23" s="21" t="str">
        <f t="shared" si="6"/>
        <v>Miscellaneous</v>
      </c>
      <c r="K23" s="84">
        <f>18907985+895500+9085000</f>
        <v>28888485</v>
      </c>
      <c r="L23" s="84">
        <f>3041364+1203899+19661447+20683+106168+1304022+147387+92293+10722876+246312</f>
        <v>36546451</v>
      </c>
      <c r="M23" s="38">
        <f t="shared" si="7"/>
        <v>1.2650871445837328</v>
      </c>
      <c r="N23" s="84">
        <f>19311594+880940+9605000+10000</f>
        <v>29807534</v>
      </c>
      <c r="O23" s="84">
        <f>23872115+1488294+36272153</f>
        <v>61632562</v>
      </c>
      <c r="P23" s="84">
        <f>23895082+1539427+37182911</f>
        <v>62617420</v>
      </c>
      <c r="Q23" s="38">
        <f t="shared" si="8"/>
        <v>0.98427182084474252</v>
      </c>
      <c r="R23" s="32">
        <f>19563765+980361+9265036</f>
        <v>29809162</v>
      </c>
      <c r="S23" s="33">
        <v>34778633.700000003</v>
      </c>
      <c r="T23" s="33">
        <f>23433323+1210790+10505556</f>
        <v>35149669</v>
      </c>
      <c r="U23" s="38">
        <f t="shared" si="9"/>
        <v>0.98944413103861673</v>
      </c>
      <c r="V23" s="33">
        <f>'FY 2009 Rev 01-15-10'!E30+'FY 2009 Rev 01-15-10'!E36+'FY 2009 Rev 01-15-10'!E43</f>
        <v>27526735</v>
      </c>
      <c r="W23" s="33">
        <v>130175824.75999999</v>
      </c>
      <c r="X23" s="33">
        <f>21039243+2205778+66559129</f>
        <v>89804150</v>
      </c>
      <c r="Y23" s="38">
        <f t="shared" si="3"/>
        <v>1.4495524400598412</v>
      </c>
      <c r="Z23" s="33">
        <f>16681375+864500+9409162</f>
        <v>26955037</v>
      </c>
      <c r="AA23" s="33">
        <v>103901511.08</v>
      </c>
      <c r="AB23" s="33">
        <f>21802800+2598162+31796434</f>
        <v>56197396</v>
      </c>
      <c r="AC23" s="38">
        <f t="shared" si="4"/>
        <v>1.8488670023073666</v>
      </c>
    </row>
    <row r="24" spans="1:29" ht="15.75" customHeight="1" thickBot="1">
      <c r="A24" s="137" t="s">
        <v>28</v>
      </c>
      <c r="B24" s="137"/>
      <c r="C24" s="94">
        <f>SUM(C17:C23)</f>
        <v>259331135</v>
      </c>
      <c r="D24" s="94">
        <f>SUM(D17:D23)</f>
        <v>276495631</v>
      </c>
      <c r="E24" s="12">
        <f t="shared" si="1"/>
        <v>1.0661875636336531</v>
      </c>
      <c r="F24" s="98">
        <f>SUM(F17:F23)</f>
        <v>17164496</v>
      </c>
      <c r="G24" s="14">
        <f t="shared" si="5"/>
        <v>259331135</v>
      </c>
      <c r="H24" s="27"/>
      <c r="J24" s="21"/>
      <c r="K24" s="85">
        <f>SUM(K17:K23)</f>
        <v>259331135</v>
      </c>
      <c r="L24" s="85">
        <f>SUM(L17:L23)</f>
        <v>276495631</v>
      </c>
      <c r="M24" s="39">
        <f>(L24/K24)</f>
        <v>1.0661875636336531</v>
      </c>
      <c r="N24" s="85">
        <f>SUM(N17:N23)</f>
        <v>256867802</v>
      </c>
      <c r="O24" s="85">
        <f>SUM(O17:O23)</f>
        <v>298083782</v>
      </c>
      <c r="P24" s="85">
        <f>SUM(P17:P23)</f>
        <v>302331838</v>
      </c>
      <c r="Q24" s="39">
        <f t="shared" si="8"/>
        <v>0.98594902862992551</v>
      </c>
      <c r="R24" s="31">
        <f>SUM(R17:R23)</f>
        <v>268005449</v>
      </c>
      <c r="S24" s="31">
        <f>SUM(S17:S23)</f>
        <v>288585774.52999997</v>
      </c>
      <c r="T24" s="31">
        <f>SUM(T17:T23)</f>
        <v>274421397</v>
      </c>
      <c r="U24" s="39">
        <f t="shared" si="9"/>
        <v>1.0516154268028888</v>
      </c>
      <c r="V24" s="31">
        <f>SUM(V17:V23)</f>
        <v>263954864</v>
      </c>
      <c r="W24" s="31">
        <f>SUM(W17:W23)</f>
        <v>374289530.49000001</v>
      </c>
      <c r="X24" s="31">
        <f>SUM(X17:X23)</f>
        <v>333117823.13999999</v>
      </c>
      <c r="Y24" s="39">
        <f t="shared" si="3"/>
        <v>1.1235950300164417</v>
      </c>
      <c r="Z24" s="31">
        <f>SUM(Z17:Z23)</f>
        <v>265347741</v>
      </c>
      <c r="AA24" s="31">
        <f>SUM(AA17:AA23)</f>
        <v>353529308.14999998</v>
      </c>
      <c r="AB24" s="31">
        <f>SUM(AB17:AB23)</f>
        <v>299184015</v>
      </c>
      <c r="AC24" s="39">
        <f t="shared" si="4"/>
        <v>1.1816450426002871</v>
      </c>
    </row>
    <row r="25" spans="1:29" ht="22.5" customHeight="1" thickTop="1">
      <c r="J25" s="21"/>
      <c r="K25" s="26"/>
    </row>
    <row r="26" spans="1:29">
      <c r="J26" s="21"/>
      <c r="K26" s="26"/>
    </row>
    <row r="40" spans="1:34">
      <c r="J40" s="35"/>
      <c r="K40" s="35"/>
    </row>
    <row r="41" spans="1:34">
      <c r="J41" s="35"/>
      <c r="K41" s="35"/>
    </row>
    <row r="42" spans="1:34">
      <c r="J42" s="35"/>
      <c r="K42" s="35"/>
    </row>
    <row r="43" spans="1:34">
      <c r="J43" s="35"/>
      <c r="K43" s="35"/>
    </row>
    <row r="44" spans="1:34">
      <c r="J44" s="35"/>
      <c r="K44" s="35"/>
    </row>
    <row r="45" spans="1:34">
      <c r="J45" s="35"/>
      <c r="K45" s="35"/>
    </row>
    <row r="46" spans="1:34" ht="33" customHeight="1">
      <c r="A46" s="133" t="s">
        <v>173</v>
      </c>
      <c r="B46" s="133"/>
      <c r="C46" s="133"/>
      <c r="D46" s="133"/>
      <c r="E46" s="133"/>
      <c r="F46" s="133"/>
      <c r="J46" s="35"/>
      <c r="K46" s="35"/>
    </row>
    <row r="47" spans="1:34" ht="12" customHeight="1">
      <c r="B47" s="18"/>
      <c r="C47" s="18"/>
      <c r="D47" s="18"/>
      <c r="E47" s="18"/>
      <c r="J47" s="35"/>
      <c r="K47" s="35"/>
    </row>
    <row r="48" spans="1:34" ht="36" customHeight="1">
      <c r="A48" s="138"/>
      <c r="B48" s="138"/>
      <c r="C48" s="19" t="s">
        <v>196</v>
      </c>
      <c r="D48" s="19" t="s">
        <v>227</v>
      </c>
      <c r="E48" s="19" t="s">
        <v>25</v>
      </c>
      <c r="F48" s="9" t="s">
        <v>228</v>
      </c>
      <c r="G48" s="10">
        <v>1</v>
      </c>
      <c r="H48" s="2" t="s">
        <v>43</v>
      </c>
      <c r="K48" s="40" t="s">
        <v>196</v>
      </c>
      <c r="L48" s="36" t="s">
        <v>233</v>
      </c>
      <c r="M48" s="37">
        <v>2012</v>
      </c>
      <c r="N48" s="36" t="s">
        <v>201</v>
      </c>
      <c r="O48" s="40" t="s">
        <v>151</v>
      </c>
      <c r="P48" s="36" t="s">
        <v>234</v>
      </c>
      <c r="Q48" s="37">
        <v>2011</v>
      </c>
      <c r="R48" s="36" t="s">
        <v>156</v>
      </c>
      <c r="S48" s="40" t="s">
        <v>94</v>
      </c>
      <c r="T48" s="36" t="s">
        <v>235</v>
      </c>
      <c r="U48" s="37">
        <v>2010</v>
      </c>
      <c r="V48" s="36" t="s">
        <v>109</v>
      </c>
      <c r="W48" s="36" t="s">
        <v>1</v>
      </c>
      <c r="X48" s="36" t="s">
        <v>236</v>
      </c>
      <c r="Y48" s="37">
        <v>2009</v>
      </c>
      <c r="Z48" s="36" t="s">
        <v>111</v>
      </c>
      <c r="AA48" s="36">
        <v>2009</v>
      </c>
      <c r="AB48" s="36" t="s">
        <v>112</v>
      </c>
      <c r="AC48" s="36" t="s">
        <v>104</v>
      </c>
      <c r="AD48" s="36" t="s">
        <v>150</v>
      </c>
      <c r="AE48" s="37">
        <v>2008</v>
      </c>
      <c r="AF48" s="36" t="s">
        <v>114</v>
      </c>
      <c r="AG48" s="36">
        <v>2008</v>
      </c>
      <c r="AH48" s="36" t="s">
        <v>115</v>
      </c>
    </row>
    <row r="49" spans="1:34" ht="15.75" customHeight="1">
      <c r="A49" s="135" t="s">
        <v>29</v>
      </c>
      <c r="B49" s="136"/>
      <c r="C49" s="94">
        <f>K49</f>
        <v>304283</v>
      </c>
      <c r="D49" s="94">
        <f>L49</f>
        <v>236867</v>
      </c>
      <c r="E49" s="12">
        <f t="shared" ref="E49:E62" si="10">(D49/C49)</f>
        <v>0.77844309409332757</v>
      </c>
      <c r="F49" s="94">
        <f>+G49-D49</f>
        <v>67416</v>
      </c>
      <c r="G49" s="23">
        <f>C49*1</f>
        <v>304283</v>
      </c>
      <c r="H49" s="24">
        <f t="shared" ref="H49:H59" si="11">C49-D49</f>
        <v>67416</v>
      </c>
      <c r="I49" s="1">
        <v>1</v>
      </c>
      <c r="J49" s="35" t="s">
        <v>29</v>
      </c>
      <c r="K49" s="13">
        <v>304283</v>
      </c>
      <c r="L49" s="82">
        <v>236867</v>
      </c>
      <c r="M49" s="41">
        <f t="shared" ref="M49:M62" si="12">(L49/K49)</f>
        <v>0.77844309409332757</v>
      </c>
      <c r="N49" s="13">
        <f>K49-L49</f>
        <v>67416</v>
      </c>
      <c r="O49" s="13">
        <v>359430</v>
      </c>
      <c r="P49" s="82">
        <v>286971</v>
      </c>
      <c r="Q49" s="41">
        <f t="shared" ref="Q49:Q62" si="13">(P49/O49)</f>
        <v>0.79840580919789672</v>
      </c>
      <c r="R49" s="13">
        <f>O49-P49</f>
        <v>72459</v>
      </c>
      <c r="S49" s="13">
        <v>346531</v>
      </c>
      <c r="T49" s="13">
        <v>277303.21999999997</v>
      </c>
      <c r="U49" s="41">
        <f t="shared" ref="U49:U62" si="14">(T49/S49)</f>
        <v>0.80022630010013529</v>
      </c>
      <c r="V49" s="13">
        <f>S49-T49</f>
        <v>69227.780000000028</v>
      </c>
      <c r="W49" s="13">
        <f>'FY 2009 Exp 01-15-10'!C2</f>
        <v>351630</v>
      </c>
      <c r="X49" s="13">
        <v>321178.05000000005</v>
      </c>
      <c r="Y49" s="41">
        <f>X49/W49</f>
        <v>0.91339774763245474</v>
      </c>
      <c r="Z49" s="13">
        <f>'FY 2009 Exp 01-15-10'!D2</f>
        <v>525313</v>
      </c>
      <c r="AA49" s="41">
        <f>X49/Z49</f>
        <v>0.61140320151985583</v>
      </c>
      <c r="AB49" s="13">
        <f>W49-X49</f>
        <v>30451.949999999953</v>
      </c>
      <c r="AC49" s="13">
        <f>'FY 2008 Exp 01-15-10'!C2</f>
        <v>370277</v>
      </c>
      <c r="AD49" s="13">
        <v>541830.66</v>
      </c>
      <c r="AE49" s="41">
        <f>AD49/AC49</f>
        <v>1.463311682875253</v>
      </c>
      <c r="AF49" s="13">
        <f>'FY 2008 Exp 01-15-10'!D2</f>
        <v>727556</v>
      </c>
      <c r="AG49" s="41">
        <f>AD49/AF49</f>
        <v>0.74472708629988627</v>
      </c>
      <c r="AH49" s="13">
        <f>AC49-AD49</f>
        <v>-171553.66000000003</v>
      </c>
    </row>
    <row r="50" spans="1:34" ht="15.75" customHeight="1">
      <c r="A50" s="135" t="s">
        <v>116</v>
      </c>
      <c r="B50" s="136"/>
      <c r="C50" s="88">
        <f>K50</f>
        <v>1166679</v>
      </c>
      <c r="D50" s="88">
        <f>L50</f>
        <v>1092081</v>
      </c>
      <c r="E50" s="12">
        <f t="shared" si="10"/>
        <v>0.93605953308493595</v>
      </c>
      <c r="F50" s="22">
        <f t="shared" ref="F50:F62" si="15">+G50-D50</f>
        <v>74598</v>
      </c>
      <c r="G50" s="23">
        <f t="shared" ref="G50:G62" si="16">C50*1</f>
        <v>1166679</v>
      </c>
      <c r="H50" s="25">
        <f t="shared" si="11"/>
        <v>74598</v>
      </c>
      <c r="I50" s="1">
        <v>1</v>
      </c>
      <c r="J50" s="35" t="s">
        <v>116</v>
      </c>
      <c r="K50" s="83">
        <v>1166679</v>
      </c>
      <c r="L50" s="86">
        <v>1092081</v>
      </c>
      <c r="M50" s="41">
        <f t="shared" si="12"/>
        <v>0.93605953308493595</v>
      </c>
      <c r="N50" s="42">
        <f t="shared" ref="N50:N61" si="17">K50-L50</f>
        <v>74598</v>
      </c>
      <c r="O50" s="83">
        <v>1134812</v>
      </c>
      <c r="P50" s="86">
        <v>1040599</v>
      </c>
      <c r="Q50" s="41">
        <f t="shared" si="13"/>
        <v>0.91697920007895584</v>
      </c>
      <c r="R50" s="42">
        <f t="shared" ref="R50:R61" si="18">O50-P50</f>
        <v>94213</v>
      </c>
      <c r="S50" s="42">
        <v>1078918</v>
      </c>
      <c r="T50" s="42">
        <v>3117445.65</v>
      </c>
      <c r="U50" s="41">
        <f t="shared" si="14"/>
        <v>2.8894185192943298</v>
      </c>
      <c r="V50" s="42">
        <f t="shared" ref="V50:V61" si="19">S50-T50</f>
        <v>-2038527.65</v>
      </c>
      <c r="W50" s="42">
        <f>'FY 2009 Exp 01-15-10'!C3</f>
        <v>1209220</v>
      </c>
      <c r="X50" s="42">
        <v>3982344.4200000009</v>
      </c>
      <c r="Y50" s="41">
        <f t="shared" ref="Y50:Y62" si="20">X50/W50</f>
        <v>3.293316700021502</v>
      </c>
      <c r="Z50" s="42">
        <f>'FY 2009 Exp 01-15-10'!D3</f>
        <v>1275791</v>
      </c>
      <c r="AA50" s="41">
        <f t="shared" ref="AA50:AA62" si="21">X50/Z50</f>
        <v>3.121470852200714</v>
      </c>
      <c r="AB50" s="42">
        <f t="shared" ref="AB50:AB61" si="22">W50-X50</f>
        <v>-2773124.4200000009</v>
      </c>
      <c r="AC50" s="42">
        <f>'FY 2008 Exp 01-15-10'!C3</f>
        <v>1199159</v>
      </c>
      <c r="AD50" s="42">
        <v>2062703.96</v>
      </c>
      <c r="AE50" s="41">
        <f t="shared" ref="AE50:AE62" si="23">AD50/AC50</f>
        <v>1.7201254879461356</v>
      </c>
      <c r="AF50" s="42">
        <f>'FY 2008 Exp 01-15-10'!D3</f>
        <v>1238216</v>
      </c>
      <c r="AG50" s="41">
        <f t="shared" ref="AG50:AG62" si="24">AD50/AF50</f>
        <v>1.6658676353721806</v>
      </c>
      <c r="AH50" s="13">
        <f t="shared" ref="AH50:AH61" si="25">AC50-AD50</f>
        <v>-863544.96</v>
      </c>
    </row>
    <row r="51" spans="1:34" ht="15.75" customHeight="1">
      <c r="A51" s="135" t="s">
        <v>131</v>
      </c>
      <c r="B51" s="136"/>
      <c r="C51" s="88">
        <f t="shared" ref="C51:D61" si="26">K51</f>
        <v>43927702</v>
      </c>
      <c r="D51" s="88">
        <f t="shared" si="26"/>
        <v>43097539</v>
      </c>
      <c r="E51" s="12">
        <f t="shared" si="10"/>
        <v>0.98110160645325817</v>
      </c>
      <c r="F51" s="22">
        <f t="shared" si="15"/>
        <v>830163</v>
      </c>
      <c r="G51" s="23">
        <f t="shared" si="16"/>
        <v>43927702</v>
      </c>
      <c r="H51" s="25">
        <f t="shared" si="11"/>
        <v>830163</v>
      </c>
      <c r="I51" s="1">
        <v>1</v>
      </c>
      <c r="J51" s="35" t="s">
        <v>131</v>
      </c>
      <c r="K51" s="83">
        <v>43927702</v>
      </c>
      <c r="L51" s="86">
        <v>43097539</v>
      </c>
      <c r="M51" s="41">
        <f t="shared" si="12"/>
        <v>0.98110160645325817</v>
      </c>
      <c r="N51" s="42">
        <f t="shared" si="17"/>
        <v>830163</v>
      </c>
      <c r="O51" s="83">
        <v>43487800</v>
      </c>
      <c r="P51" s="86">
        <v>45582071</v>
      </c>
      <c r="Q51" s="41">
        <f t="shared" si="13"/>
        <v>1.0481576672078146</v>
      </c>
      <c r="R51" s="42">
        <f t="shared" si="18"/>
        <v>-2094271</v>
      </c>
      <c r="S51" s="42">
        <v>43665123</v>
      </c>
      <c r="T51" s="42">
        <v>43835701.119999997</v>
      </c>
      <c r="U51" s="41">
        <f t="shared" si="14"/>
        <v>1.0039065072598101</v>
      </c>
      <c r="V51" s="42">
        <f t="shared" si="19"/>
        <v>-170578.11999999732</v>
      </c>
      <c r="W51" s="42">
        <f>'FY 2009 Exp 01-15-10'!C4</f>
        <v>42789548</v>
      </c>
      <c r="X51" s="42">
        <v>47909345.829999998</v>
      </c>
      <c r="Y51" s="41">
        <f t="shared" si="20"/>
        <v>1.1196506639892527</v>
      </c>
      <c r="Z51" s="42">
        <f>'FY 2009 Exp 01-15-10'!D4</f>
        <v>47916306</v>
      </c>
      <c r="AA51" s="41">
        <f t="shared" si="21"/>
        <v>0.99985474318491907</v>
      </c>
      <c r="AB51" s="42">
        <f t="shared" si="22"/>
        <v>-5119797.8299999982</v>
      </c>
      <c r="AC51" s="42">
        <f>'FY 2008 Exp 01-15-10'!C4</f>
        <v>39688692</v>
      </c>
      <c r="AD51" s="42">
        <v>50253584.240000002</v>
      </c>
      <c r="AE51" s="41">
        <f t="shared" si="23"/>
        <v>1.266194014153956</v>
      </c>
      <c r="AF51" s="42">
        <f>'FY 2008 Exp 01-15-10'!D4</f>
        <v>50299627</v>
      </c>
      <c r="AG51" s="41">
        <f t="shared" si="24"/>
        <v>0.99908463019020011</v>
      </c>
      <c r="AH51" s="13">
        <f t="shared" si="25"/>
        <v>-10564892.240000002</v>
      </c>
    </row>
    <row r="52" spans="1:34" ht="15.75" customHeight="1">
      <c r="A52" s="135" t="s">
        <v>30</v>
      </c>
      <c r="B52" s="136"/>
      <c r="C52" s="88">
        <f t="shared" si="26"/>
        <v>3539581</v>
      </c>
      <c r="D52" s="88">
        <f t="shared" si="26"/>
        <v>2684971</v>
      </c>
      <c r="E52" s="12">
        <f t="shared" si="10"/>
        <v>0.75855616808882176</v>
      </c>
      <c r="F52" s="22">
        <f t="shared" si="15"/>
        <v>854610</v>
      </c>
      <c r="G52" s="23">
        <f t="shared" si="16"/>
        <v>3539581</v>
      </c>
      <c r="H52" s="25">
        <f t="shared" si="11"/>
        <v>854610</v>
      </c>
      <c r="I52" s="1">
        <v>1</v>
      </c>
      <c r="J52" s="35" t="s">
        <v>30</v>
      </c>
      <c r="K52" s="83">
        <v>3539581</v>
      </c>
      <c r="L52" s="86">
        <v>2684971</v>
      </c>
      <c r="M52" s="41">
        <f t="shared" si="12"/>
        <v>0.75855616808882176</v>
      </c>
      <c r="N52" s="42">
        <f t="shared" si="17"/>
        <v>854610</v>
      </c>
      <c r="O52" s="83">
        <v>2892101</v>
      </c>
      <c r="P52" s="86">
        <v>2590338</v>
      </c>
      <c r="Q52" s="41">
        <f t="shared" si="13"/>
        <v>0.895659591418142</v>
      </c>
      <c r="R52" s="42">
        <f t="shared" si="18"/>
        <v>301763</v>
      </c>
      <c r="S52" s="42">
        <v>3263326</v>
      </c>
      <c r="T52" s="42">
        <v>2817949.94</v>
      </c>
      <c r="U52" s="41">
        <f t="shared" si="14"/>
        <v>0.86352081894361765</v>
      </c>
      <c r="V52" s="42">
        <f t="shared" si="19"/>
        <v>445376.06000000006</v>
      </c>
      <c r="W52" s="42">
        <f>'FY 2009 Exp 01-15-10'!C5</f>
        <v>3360551</v>
      </c>
      <c r="X52" s="42">
        <v>3420570.5100000002</v>
      </c>
      <c r="Y52" s="41">
        <f t="shared" si="20"/>
        <v>1.0178600205740072</v>
      </c>
      <c r="Z52" s="42">
        <f>'FY 2009 Exp 01-15-10'!D5</f>
        <v>3318332</v>
      </c>
      <c r="AA52" s="41">
        <f t="shared" si="21"/>
        <v>1.0308102112748212</v>
      </c>
      <c r="AB52" s="42">
        <f t="shared" si="22"/>
        <v>-60019.510000000242</v>
      </c>
      <c r="AC52" s="42">
        <f>'FY 2008 Exp 01-15-10'!C5</f>
        <v>2433415</v>
      </c>
      <c r="AD52" s="42">
        <v>2901284.92</v>
      </c>
      <c r="AE52" s="41">
        <f t="shared" si="23"/>
        <v>1.1922688567301507</v>
      </c>
      <c r="AF52" s="42">
        <f>'FY 2008 Exp 01-15-10'!D5</f>
        <v>3139760</v>
      </c>
      <c r="AG52" s="41">
        <f t="shared" si="24"/>
        <v>0.92404671694651819</v>
      </c>
      <c r="AH52" s="13">
        <f t="shared" si="25"/>
        <v>-467869.91999999993</v>
      </c>
    </row>
    <row r="53" spans="1:34" ht="15.75" customHeight="1">
      <c r="A53" s="135" t="s">
        <v>15</v>
      </c>
      <c r="B53" s="136"/>
      <c r="C53" s="88">
        <f t="shared" si="26"/>
        <v>10245180</v>
      </c>
      <c r="D53" s="88">
        <f t="shared" si="26"/>
        <v>9524685</v>
      </c>
      <c r="E53" s="12">
        <f t="shared" si="10"/>
        <v>0.929674734850925</v>
      </c>
      <c r="F53" s="22">
        <f t="shared" si="15"/>
        <v>720495</v>
      </c>
      <c r="G53" s="23">
        <f t="shared" si="16"/>
        <v>10245180</v>
      </c>
      <c r="H53" s="25">
        <f t="shared" si="11"/>
        <v>720495</v>
      </c>
      <c r="I53" s="1">
        <v>1</v>
      </c>
      <c r="J53" s="35" t="s">
        <v>15</v>
      </c>
      <c r="K53" s="83">
        <v>10245180</v>
      </c>
      <c r="L53" s="86">
        <v>9524685</v>
      </c>
      <c r="M53" s="41">
        <f t="shared" si="12"/>
        <v>0.929674734850925</v>
      </c>
      <c r="N53" s="42">
        <f t="shared" si="17"/>
        <v>720495</v>
      </c>
      <c r="O53" s="83">
        <v>10586321</v>
      </c>
      <c r="P53" s="86">
        <v>9806126</v>
      </c>
      <c r="Q53" s="41">
        <f t="shared" si="13"/>
        <v>0.92630159240400889</v>
      </c>
      <c r="R53" s="42">
        <f t="shared" si="18"/>
        <v>780195</v>
      </c>
      <c r="S53" s="42">
        <v>10604579</v>
      </c>
      <c r="T53" s="42">
        <v>9887771.1099999994</v>
      </c>
      <c r="U53" s="41">
        <f t="shared" si="14"/>
        <v>0.93240581356412167</v>
      </c>
      <c r="V53" s="42">
        <f t="shared" si="19"/>
        <v>716807.8900000006</v>
      </c>
      <c r="W53" s="42">
        <f>'FY 2009 Exp 01-15-10'!C6</f>
        <v>10906229</v>
      </c>
      <c r="X53" s="42">
        <v>10176911.580000002</v>
      </c>
      <c r="Y53" s="41">
        <f t="shared" si="20"/>
        <v>0.93312835994916321</v>
      </c>
      <c r="Z53" s="42">
        <f>'FY 2009 Exp 01-15-10'!D6</f>
        <v>11732575</v>
      </c>
      <c r="AA53" s="41">
        <f t="shared" si="21"/>
        <v>0.86740647982220453</v>
      </c>
      <c r="AB53" s="42">
        <f t="shared" si="22"/>
        <v>729317.41999999806</v>
      </c>
      <c r="AC53" s="42">
        <f>'FY 2008 Exp 01-15-10'!C6</f>
        <v>9925189</v>
      </c>
      <c r="AD53" s="42">
        <v>9719584.879999999</v>
      </c>
      <c r="AE53" s="41">
        <f t="shared" si="23"/>
        <v>0.9792846141267435</v>
      </c>
      <c r="AF53" s="42">
        <f>'FY 2008 Exp 01-15-10'!D6</f>
        <v>10236244</v>
      </c>
      <c r="AG53" s="41">
        <f t="shared" si="24"/>
        <v>0.94952649428833458</v>
      </c>
      <c r="AH53" s="13">
        <f t="shared" si="25"/>
        <v>205604.12000000104</v>
      </c>
    </row>
    <row r="54" spans="1:34" ht="15.75" customHeight="1">
      <c r="A54" s="135" t="s">
        <v>14</v>
      </c>
      <c r="B54" s="136"/>
      <c r="C54" s="88">
        <f t="shared" si="26"/>
        <v>35621648</v>
      </c>
      <c r="D54" s="88">
        <f t="shared" si="26"/>
        <v>27002589</v>
      </c>
      <c r="E54" s="12">
        <f t="shared" si="10"/>
        <v>0.75803873532184696</v>
      </c>
      <c r="F54" s="22">
        <f t="shared" si="15"/>
        <v>8619059</v>
      </c>
      <c r="G54" s="23">
        <f t="shared" si="16"/>
        <v>35621648</v>
      </c>
      <c r="H54" s="25">
        <f t="shared" si="11"/>
        <v>8619059</v>
      </c>
      <c r="I54" s="1">
        <v>1</v>
      </c>
      <c r="J54" s="35" t="s">
        <v>205</v>
      </c>
      <c r="K54" s="83">
        <v>35621648</v>
      </c>
      <c r="L54" s="86">
        <v>27002589</v>
      </c>
      <c r="M54" s="41">
        <f t="shared" si="12"/>
        <v>0.75803873532184696</v>
      </c>
      <c r="N54" s="42">
        <f t="shared" si="17"/>
        <v>8619059</v>
      </c>
      <c r="O54" s="83">
        <v>41179358</v>
      </c>
      <c r="P54" s="86">
        <v>65556394</v>
      </c>
      <c r="Q54" s="41">
        <f t="shared" si="13"/>
        <v>1.5919722206451106</v>
      </c>
      <c r="R54" s="42">
        <f t="shared" si="18"/>
        <v>-24377036</v>
      </c>
      <c r="S54" s="42">
        <v>40714461</v>
      </c>
      <c r="T54" s="42">
        <v>36772209.93</v>
      </c>
      <c r="U54" s="41">
        <f t="shared" si="14"/>
        <v>0.90317319760170711</v>
      </c>
      <c r="V54" s="42">
        <f t="shared" si="19"/>
        <v>3942251.0700000003</v>
      </c>
      <c r="W54" s="42">
        <f>'FY 2009 Exp 01-15-10'!C7</f>
        <v>39128938</v>
      </c>
      <c r="X54" s="42">
        <v>29393444.119999997</v>
      </c>
      <c r="Y54" s="41">
        <f t="shared" si="20"/>
        <v>0.75119452820314203</v>
      </c>
      <c r="Z54" s="42">
        <f>'FY 2009 Exp 01-15-10'!D7</f>
        <v>41658952</v>
      </c>
      <c r="AA54" s="41">
        <f t="shared" si="21"/>
        <v>0.7055732971871207</v>
      </c>
      <c r="AB54" s="42">
        <f t="shared" si="22"/>
        <v>9735493.8800000027</v>
      </c>
      <c r="AC54" s="42">
        <f>'FY 2008 Exp 01-15-10'!C7</f>
        <v>37639150</v>
      </c>
      <c r="AD54" s="42">
        <v>27222387.099999998</v>
      </c>
      <c r="AE54" s="41">
        <f t="shared" si="23"/>
        <v>0.72324659563247307</v>
      </c>
      <c r="AF54" s="42">
        <f>'FY 2008 Exp 01-15-10'!D7</f>
        <v>36096874</v>
      </c>
      <c r="AG54" s="41">
        <f t="shared" si="24"/>
        <v>0.75414804894185572</v>
      </c>
      <c r="AH54" s="13">
        <f t="shared" si="25"/>
        <v>10416762.900000002</v>
      </c>
    </row>
    <row r="55" spans="1:34" ht="15.75" customHeight="1">
      <c r="A55" s="135" t="s">
        <v>117</v>
      </c>
      <c r="B55" s="136"/>
      <c r="C55" s="88">
        <f t="shared" si="26"/>
        <v>17339921</v>
      </c>
      <c r="D55" s="88">
        <f t="shared" si="26"/>
        <v>15882947</v>
      </c>
      <c r="E55" s="12">
        <f t="shared" si="10"/>
        <v>0.91597574175799301</v>
      </c>
      <c r="F55" s="22">
        <f t="shared" si="15"/>
        <v>1456974</v>
      </c>
      <c r="G55" s="23">
        <f t="shared" si="16"/>
        <v>17339921</v>
      </c>
      <c r="H55" s="25">
        <f t="shared" si="11"/>
        <v>1456974</v>
      </c>
      <c r="I55" s="1">
        <v>1</v>
      </c>
      <c r="J55" s="35" t="s">
        <v>117</v>
      </c>
      <c r="K55" s="83">
        <v>17339921</v>
      </c>
      <c r="L55" s="86">
        <v>15882947</v>
      </c>
      <c r="M55" s="41">
        <f t="shared" si="12"/>
        <v>0.91597574175799301</v>
      </c>
      <c r="N55" s="42">
        <f t="shared" si="17"/>
        <v>1456974</v>
      </c>
      <c r="O55" s="83">
        <v>19492602</v>
      </c>
      <c r="P55" s="86">
        <v>17647243</v>
      </c>
      <c r="Q55" s="41">
        <f t="shared" si="13"/>
        <v>0.90533028889626943</v>
      </c>
      <c r="R55" s="42">
        <f t="shared" si="18"/>
        <v>1845359</v>
      </c>
      <c r="S55" s="42">
        <v>17404071</v>
      </c>
      <c r="T55" s="42">
        <v>18387852.719999999</v>
      </c>
      <c r="U55" s="41">
        <f t="shared" si="14"/>
        <v>1.056525954186236</v>
      </c>
      <c r="V55" s="42">
        <f t="shared" si="19"/>
        <v>-983781.71999999881</v>
      </c>
      <c r="W55" s="42">
        <f>'FY 2009 Exp 01-15-10'!C8</f>
        <v>17368061</v>
      </c>
      <c r="X55" s="42">
        <v>16970444.879999999</v>
      </c>
      <c r="Y55" s="41">
        <f t="shared" si="20"/>
        <v>0.9771064760769782</v>
      </c>
      <c r="Z55" s="42">
        <f>'FY 2009 Exp 01-15-10'!D8</f>
        <v>17937753</v>
      </c>
      <c r="AA55" s="41">
        <f t="shared" si="21"/>
        <v>0.94607417551128059</v>
      </c>
      <c r="AB55" s="42">
        <f t="shared" si="22"/>
        <v>397616.12000000104</v>
      </c>
      <c r="AC55" s="42">
        <f>'FY 2008 Exp 01-15-10'!C8</f>
        <v>17183257</v>
      </c>
      <c r="AD55" s="42">
        <v>17791258.439999998</v>
      </c>
      <c r="AE55" s="41">
        <f t="shared" si="23"/>
        <v>1.0353833641666419</v>
      </c>
      <c r="AF55" s="42">
        <f>'FY 2008 Exp 01-15-10'!D8</f>
        <v>15836617</v>
      </c>
      <c r="AG55" s="41">
        <f t="shared" si="24"/>
        <v>1.1234254411785041</v>
      </c>
      <c r="AH55" s="13">
        <f t="shared" si="25"/>
        <v>-608001.43999999762</v>
      </c>
    </row>
    <row r="56" spans="1:34" ht="15.75" customHeight="1">
      <c r="A56" s="135" t="s">
        <v>31</v>
      </c>
      <c r="B56" s="136"/>
      <c r="C56" s="88">
        <f t="shared" si="26"/>
        <v>17000798</v>
      </c>
      <c r="D56" s="88">
        <f t="shared" si="26"/>
        <v>15262536</v>
      </c>
      <c r="E56" s="12">
        <f t="shared" si="10"/>
        <v>0.89775409366077996</v>
      </c>
      <c r="F56" s="22">
        <f t="shared" si="15"/>
        <v>1738262</v>
      </c>
      <c r="G56" s="23">
        <f t="shared" si="16"/>
        <v>17000798</v>
      </c>
      <c r="H56" s="25">
        <f t="shared" si="11"/>
        <v>1738262</v>
      </c>
      <c r="I56" s="1">
        <v>1</v>
      </c>
      <c r="J56" s="35" t="s">
        <v>31</v>
      </c>
      <c r="K56" s="83">
        <v>17000798</v>
      </c>
      <c r="L56" s="86">
        <v>15262536</v>
      </c>
      <c r="M56" s="41">
        <f t="shared" si="12"/>
        <v>0.89775409366077996</v>
      </c>
      <c r="N56" s="42">
        <f t="shared" si="17"/>
        <v>1738262</v>
      </c>
      <c r="O56" s="83">
        <v>17117766</v>
      </c>
      <c r="P56" s="86">
        <v>15673919</v>
      </c>
      <c r="Q56" s="41">
        <f t="shared" si="13"/>
        <v>0.91565213591539929</v>
      </c>
      <c r="R56" s="42">
        <f t="shared" si="18"/>
        <v>1443847</v>
      </c>
      <c r="S56" s="42">
        <v>17413314</v>
      </c>
      <c r="T56" s="42">
        <v>15762855.52</v>
      </c>
      <c r="U56" s="41">
        <f t="shared" si="14"/>
        <v>0.90521858848924441</v>
      </c>
      <c r="V56" s="42">
        <f t="shared" si="19"/>
        <v>1650458.4800000004</v>
      </c>
      <c r="W56" s="42">
        <f>'FY 2009 Exp 01-15-10'!C9</f>
        <v>17278014</v>
      </c>
      <c r="X56" s="42">
        <v>15536742.649999999</v>
      </c>
      <c r="Y56" s="41">
        <f t="shared" si="20"/>
        <v>0.8992203994047</v>
      </c>
      <c r="Z56" s="42">
        <f>'FY 2009 Exp 01-15-10'!D9</f>
        <v>17898937</v>
      </c>
      <c r="AA56" s="41">
        <f t="shared" si="21"/>
        <v>0.86802599785674417</v>
      </c>
      <c r="AB56" s="42">
        <f t="shared" si="22"/>
        <v>1741271.3500000015</v>
      </c>
      <c r="AC56" s="42">
        <f>'FY 2008 Exp 01-15-10'!C9</f>
        <v>16892588</v>
      </c>
      <c r="AD56" s="42">
        <v>15953689.83</v>
      </c>
      <c r="AE56" s="41">
        <f t="shared" si="23"/>
        <v>0.94441951878539865</v>
      </c>
      <c r="AF56" s="42">
        <f>'FY 2008 Exp 01-15-10'!D9</f>
        <v>17511804</v>
      </c>
      <c r="AG56" s="41">
        <f t="shared" si="24"/>
        <v>0.91102491953427533</v>
      </c>
      <c r="AH56" s="13">
        <f t="shared" si="25"/>
        <v>938898.16999999993</v>
      </c>
    </row>
    <row r="57" spans="1:34" ht="15.75" customHeight="1">
      <c r="A57" s="135" t="s">
        <v>32</v>
      </c>
      <c r="B57" s="136"/>
      <c r="C57" s="88">
        <f t="shared" si="26"/>
        <v>10468040</v>
      </c>
      <c r="D57" s="88">
        <f t="shared" si="26"/>
        <v>9758255</v>
      </c>
      <c r="E57" s="12">
        <f t="shared" si="10"/>
        <v>0.93219504319815361</v>
      </c>
      <c r="F57" s="22">
        <f t="shared" si="15"/>
        <v>709785</v>
      </c>
      <c r="G57" s="23">
        <f t="shared" si="16"/>
        <v>10468040</v>
      </c>
      <c r="H57" s="25">
        <f t="shared" si="11"/>
        <v>709785</v>
      </c>
      <c r="I57" s="1">
        <v>1</v>
      </c>
      <c r="J57" s="35" t="s">
        <v>32</v>
      </c>
      <c r="K57" s="83">
        <v>10468040</v>
      </c>
      <c r="L57" s="86">
        <v>9758255</v>
      </c>
      <c r="M57" s="41">
        <f t="shared" si="12"/>
        <v>0.93219504319815361</v>
      </c>
      <c r="N57" s="42">
        <f t="shared" si="17"/>
        <v>709785</v>
      </c>
      <c r="O57" s="83">
        <v>10895570</v>
      </c>
      <c r="P57" s="86">
        <v>10282513</v>
      </c>
      <c r="Q57" s="41">
        <f t="shared" si="13"/>
        <v>0.94373337053499728</v>
      </c>
      <c r="R57" s="42">
        <f t="shared" si="18"/>
        <v>613057</v>
      </c>
      <c r="S57" s="42">
        <v>10775827</v>
      </c>
      <c r="T57" s="42">
        <v>10557932.050000001</v>
      </c>
      <c r="U57" s="41">
        <f t="shared" si="14"/>
        <v>0.97977928283369808</v>
      </c>
      <c r="V57" s="42">
        <f t="shared" si="19"/>
        <v>217894.94999999925</v>
      </c>
      <c r="W57" s="42">
        <f>'FY 2009 Exp 01-15-10'!C10</f>
        <v>10462445</v>
      </c>
      <c r="X57" s="42">
        <v>10216079.879999999</v>
      </c>
      <c r="Y57" s="41">
        <f t="shared" si="20"/>
        <v>0.97645243344170496</v>
      </c>
      <c r="Z57" s="42">
        <f>'FY 2009 Exp 01-15-10'!D10</f>
        <v>10559987</v>
      </c>
      <c r="AA57" s="41">
        <f t="shared" si="21"/>
        <v>0.96743299778683434</v>
      </c>
      <c r="AB57" s="42">
        <f t="shared" si="22"/>
        <v>246365.12000000104</v>
      </c>
      <c r="AC57" s="42">
        <f>'FY 2008 Exp 01-15-10'!C10</f>
        <v>10123030</v>
      </c>
      <c r="AD57" s="42">
        <v>10033675.629999999</v>
      </c>
      <c r="AE57" s="41">
        <f t="shared" si="23"/>
        <v>0.99117315961722907</v>
      </c>
      <c r="AF57" s="42">
        <f>'FY 2008 Exp 01-15-10'!D10</f>
        <v>10223818</v>
      </c>
      <c r="AG57" s="41">
        <f t="shared" si="24"/>
        <v>0.981402019284772</v>
      </c>
      <c r="AH57" s="13">
        <f t="shared" si="25"/>
        <v>89354.370000001043</v>
      </c>
    </row>
    <row r="58" spans="1:34" ht="15.75" customHeight="1">
      <c r="A58" s="135" t="s">
        <v>33</v>
      </c>
      <c r="B58" s="136"/>
      <c r="C58" s="88">
        <f t="shared" si="26"/>
        <v>13924247</v>
      </c>
      <c r="D58" s="88">
        <f t="shared" si="26"/>
        <v>12270694</v>
      </c>
      <c r="E58" s="12">
        <f t="shared" si="10"/>
        <v>0.88124650474815625</v>
      </c>
      <c r="F58" s="22">
        <f t="shared" si="15"/>
        <v>1653553</v>
      </c>
      <c r="G58" s="23">
        <f t="shared" si="16"/>
        <v>13924247</v>
      </c>
      <c r="H58" s="25">
        <f t="shared" si="11"/>
        <v>1653553</v>
      </c>
      <c r="I58" s="1">
        <v>1</v>
      </c>
      <c r="J58" s="35" t="s">
        <v>33</v>
      </c>
      <c r="K58" s="83">
        <v>13924247</v>
      </c>
      <c r="L58" s="86">
        <v>12270694</v>
      </c>
      <c r="M58" s="41">
        <f t="shared" si="12"/>
        <v>0.88124650474815625</v>
      </c>
      <c r="N58" s="42">
        <f t="shared" si="17"/>
        <v>1653553</v>
      </c>
      <c r="O58" s="83">
        <v>11591817</v>
      </c>
      <c r="P58" s="86">
        <v>20809245</v>
      </c>
      <c r="Q58" s="41">
        <f t="shared" si="13"/>
        <v>1.7951667974054455</v>
      </c>
      <c r="R58" s="42">
        <f t="shared" si="18"/>
        <v>-9217428</v>
      </c>
      <c r="S58" s="42">
        <v>13414559</v>
      </c>
      <c r="T58" s="42">
        <v>20392925.18</v>
      </c>
      <c r="U58" s="41">
        <f t="shared" si="14"/>
        <v>1.5202083929855614</v>
      </c>
      <c r="V58" s="42">
        <f t="shared" si="19"/>
        <v>-6978366.1799999997</v>
      </c>
      <c r="W58" s="42">
        <f>'FY 2009 Exp 01-15-10'!C11</f>
        <v>13483773</v>
      </c>
      <c r="X58" s="42">
        <v>19505932.360000003</v>
      </c>
      <c r="Y58" s="41">
        <f t="shared" si="20"/>
        <v>1.4466227190267889</v>
      </c>
      <c r="Z58" s="42">
        <f>'FY 2009 Exp 01-15-10'!D11</f>
        <v>25988724</v>
      </c>
      <c r="AA58" s="41">
        <f t="shared" si="21"/>
        <v>0.75055367704855391</v>
      </c>
      <c r="AB58" s="42">
        <f t="shared" si="22"/>
        <v>-6022159.3600000031</v>
      </c>
      <c r="AC58" s="42">
        <f>'FY 2008 Exp 01-15-10'!C11</f>
        <v>13190056</v>
      </c>
      <c r="AD58" s="42">
        <v>31398306.120000001</v>
      </c>
      <c r="AE58" s="41">
        <f t="shared" si="23"/>
        <v>2.3804528290099753</v>
      </c>
      <c r="AF58" s="42">
        <f>'FY 2008 Exp 01-15-10'!D11</f>
        <v>40957636</v>
      </c>
      <c r="AG58" s="41">
        <f t="shared" si="24"/>
        <v>0.76660445246400455</v>
      </c>
      <c r="AH58" s="13">
        <f t="shared" si="25"/>
        <v>-18208250.120000001</v>
      </c>
    </row>
    <row r="59" spans="1:34" ht="15.75" customHeight="1">
      <c r="A59" s="135" t="s">
        <v>34</v>
      </c>
      <c r="B59" s="136"/>
      <c r="C59" s="88">
        <f t="shared" si="26"/>
        <v>63810544</v>
      </c>
      <c r="D59" s="88">
        <f t="shared" si="26"/>
        <v>61276435</v>
      </c>
      <c r="E59" s="12">
        <f t="shared" si="10"/>
        <v>0.96028698642656929</v>
      </c>
      <c r="F59" s="22">
        <f t="shared" si="15"/>
        <v>2534109</v>
      </c>
      <c r="G59" s="23">
        <f t="shared" si="16"/>
        <v>63810544</v>
      </c>
      <c r="H59" s="25">
        <f t="shared" si="11"/>
        <v>2534109</v>
      </c>
      <c r="I59" s="1">
        <v>1</v>
      </c>
      <c r="J59" s="35" t="s">
        <v>34</v>
      </c>
      <c r="K59" s="83">
        <v>63810544</v>
      </c>
      <c r="L59" s="86">
        <v>61276435</v>
      </c>
      <c r="M59" s="41">
        <f t="shared" si="12"/>
        <v>0.96028698642656929</v>
      </c>
      <c r="N59" s="42">
        <f t="shared" si="17"/>
        <v>2534109</v>
      </c>
      <c r="O59" s="83">
        <v>65349602</v>
      </c>
      <c r="P59" s="86">
        <v>63192389</v>
      </c>
      <c r="Q59" s="41">
        <f t="shared" si="13"/>
        <v>0.96698965358656663</v>
      </c>
      <c r="R59" s="42">
        <f t="shared" si="18"/>
        <v>2157213</v>
      </c>
      <c r="S59" s="42">
        <v>65544767</v>
      </c>
      <c r="T59" s="42">
        <v>64205573.079999998</v>
      </c>
      <c r="U59" s="41">
        <f t="shared" si="14"/>
        <v>0.97956825569308981</v>
      </c>
      <c r="V59" s="42">
        <f t="shared" si="19"/>
        <v>1339193.9200000018</v>
      </c>
      <c r="W59" s="42">
        <f>'FY 2009 Exp 01-15-10'!C12</f>
        <v>65608655</v>
      </c>
      <c r="X59" s="42">
        <v>62502496.940000005</v>
      </c>
      <c r="Y59" s="41">
        <f t="shared" si="20"/>
        <v>0.95265627591359714</v>
      </c>
      <c r="Z59" s="42">
        <f>'FY 2009 Exp 01-15-10'!D12</f>
        <v>58058647</v>
      </c>
      <c r="AA59" s="41">
        <f t="shared" si="21"/>
        <v>1.0765407078811189</v>
      </c>
      <c r="AB59" s="42">
        <f t="shared" si="22"/>
        <v>3106158.0599999949</v>
      </c>
      <c r="AC59" s="42">
        <f>'FY 2008 Exp 01-15-10'!C12</f>
        <v>64075535</v>
      </c>
      <c r="AD59" s="42">
        <v>64200232.190000013</v>
      </c>
      <c r="AE59" s="41">
        <f t="shared" si="23"/>
        <v>1.0019460967434766</v>
      </c>
      <c r="AF59" s="42">
        <f>'FY 2008 Exp 01-15-10'!D12</f>
        <v>57996969</v>
      </c>
      <c r="AG59" s="41">
        <f t="shared" si="24"/>
        <v>1.106958403119308</v>
      </c>
      <c r="AH59" s="13">
        <f t="shared" si="25"/>
        <v>-124697.19000001252</v>
      </c>
    </row>
    <row r="60" spans="1:34" ht="15.75" customHeight="1">
      <c r="A60" s="135" t="s">
        <v>132</v>
      </c>
      <c r="B60" s="136"/>
      <c r="C60" s="88">
        <f t="shared" si="26"/>
        <v>19894693</v>
      </c>
      <c r="D60" s="88">
        <f t="shared" si="26"/>
        <v>20280198</v>
      </c>
      <c r="E60" s="12">
        <f t="shared" si="10"/>
        <v>1.0193772781515151</v>
      </c>
      <c r="F60" s="22">
        <f t="shared" si="15"/>
        <v>-385505</v>
      </c>
      <c r="G60" s="23">
        <f t="shared" si="16"/>
        <v>19894693</v>
      </c>
      <c r="H60" s="25">
        <v>0</v>
      </c>
      <c r="I60" s="1">
        <v>1</v>
      </c>
      <c r="J60" s="35" t="s">
        <v>132</v>
      </c>
      <c r="K60" s="83">
        <v>19894693</v>
      </c>
      <c r="L60" s="86">
        <v>20280198</v>
      </c>
      <c r="M60" s="41">
        <f t="shared" si="12"/>
        <v>1.0193772781515151</v>
      </c>
      <c r="N60" s="42">
        <f t="shared" si="17"/>
        <v>-385505</v>
      </c>
      <c r="O60" s="83">
        <v>19688923</v>
      </c>
      <c r="P60" s="86">
        <v>23410627</v>
      </c>
      <c r="Q60" s="41">
        <f t="shared" si="13"/>
        <v>1.1890252707067828</v>
      </c>
      <c r="R60" s="42">
        <f t="shared" si="18"/>
        <v>-3721704</v>
      </c>
      <c r="S60" s="42">
        <v>19347332</v>
      </c>
      <c r="T60" s="42">
        <v>56132638.170000002</v>
      </c>
      <c r="U60" s="41">
        <f t="shared" si="14"/>
        <v>2.9013115694711811</v>
      </c>
      <c r="V60" s="42">
        <f t="shared" si="19"/>
        <v>-36785306.170000002</v>
      </c>
      <c r="W60" s="42">
        <f>'FY 2009 Exp 01-15-10'!C13</f>
        <v>19861346</v>
      </c>
      <c r="X60" s="42">
        <v>56241618.839999996</v>
      </c>
      <c r="Y60" s="41">
        <f t="shared" si="20"/>
        <v>2.8317123542382272</v>
      </c>
      <c r="Z60" s="42">
        <f>'FY 2009 Exp 01-15-10'!D13</f>
        <v>38533167</v>
      </c>
      <c r="AA60" s="41">
        <f t="shared" si="21"/>
        <v>1.4595638827195283</v>
      </c>
      <c r="AB60" s="42">
        <f t="shared" si="22"/>
        <v>-36380272.839999996</v>
      </c>
      <c r="AC60" s="42">
        <f>'FY 2008 Exp 01-15-10'!C13</f>
        <v>17022879</v>
      </c>
      <c r="AD60" s="42">
        <v>63038430.679999992</v>
      </c>
      <c r="AE60" s="41">
        <f t="shared" si="23"/>
        <v>3.703159182415618</v>
      </c>
      <c r="AF60" s="42">
        <f>'FY 2008 Exp 01-15-10'!D13</f>
        <v>37697948</v>
      </c>
      <c r="AG60" s="41">
        <f t="shared" si="24"/>
        <v>1.6721979318343798</v>
      </c>
      <c r="AH60" s="13">
        <f t="shared" si="25"/>
        <v>-46015551.679999992</v>
      </c>
    </row>
    <row r="61" spans="1:34" ht="15.75" customHeight="1" thickBot="1">
      <c r="A61" s="135" t="s">
        <v>35</v>
      </c>
      <c r="B61" s="136"/>
      <c r="C61" s="88">
        <f t="shared" si="26"/>
        <v>27624277</v>
      </c>
      <c r="D61" s="88">
        <f t="shared" si="26"/>
        <v>32055498</v>
      </c>
      <c r="E61" s="12">
        <f t="shared" si="10"/>
        <v>1.1604103882972212</v>
      </c>
      <c r="F61" s="22">
        <f t="shared" si="15"/>
        <v>-4431221</v>
      </c>
      <c r="G61" s="23">
        <f t="shared" si="16"/>
        <v>27624277</v>
      </c>
      <c r="H61" s="25">
        <v>0</v>
      </c>
      <c r="I61" s="1">
        <v>1</v>
      </c>
      <c r="J61" s="35" t="s">
        <v>35</v>
      </c>
      <c r="K61" s="84">
        <v>27624277</v>
      </c>
      <c r="L61" s="87">
        <v>32055498</v>
      </c>
      <c r="M61" s="38">
        <f t="shared" si="12"/>
        <v>1.1604103882972212</v>
      </c>
      <c r="N61" s="44">
        <f t="shared" si="17"/>
        <v>-4431221</v>
      </c>
      <c r="O61" s="84">
        <v>28150079</v>
      </c>
      <c r="P61" s="87">
        <v>55646322</v>
      </c>
      <c r="Q61" s="38">
        <f t="shared" si="13"/>
        <v>1.9767732090556478</v>
      </c>
      <c r="R61" s="44">
        <f t="shared" si="18"/>
        <v>-27496243</v>
      </c>
      <c r="S61" s="44">
        <v>26609348</v>
      </c>
      <c r="T61" s="44">
        <v>33042450.420000002</v>
      </c>
      <c r="U61" s="38">
        <f t="shared" si="14"/>
        <v>1.241760993918378</v>
      </c>
      <c r="V61" s="44">
        <f t="shared" si="19"/>
        <v>-6433102.4200000018</v>
      </c>
      <c r="W61" s="44">
        <f>'FY 2009 Exp 01-15-10'!C14</f>
        <v>27673796</v>
      </c>
      <c r="X61" s="44">
        <v>81259893.120000005</v>
      </c>
      <c r="Y61" s="38">
        <f t="shared" si="20"/>
        <v>2.9363479126607714</v>
      </c>
      <c r="Z61" s="44">
        <f>'FY 2009 Exp 01-15-10'!D14</f>
        <v>70249042</v>
      </c>
      <c r="AA61" s="38">
        <f t="shared" si="21"/>
        <v>1.1567402317030886</v>
      </c>
      <c r="AB61" s="44">
        <f t="shared" si="22"/>
        <v>-53586097.120000005</v>
      </c>
      <c r="AC61" s="44">
        <f>'FY 2008 Exp 01-15-10'!C14</f>
        <v>25864446</v>
      </c>
      <c r="AD61" s="44">
        <v>41401503.990000002</v>
      </c>
      <c r="AE61" s="38">
        <f t="shared" si="23"/>
        <v>1.6007110297278357</v>
      </c>
      <c r="AF61" s="44">
        <f>'FY 2008 Exp 01-15-10'!D14</f>
        <v>40216702</v>
      </c>
      <c r="AG61" s="38">
        <f t="shared" si="24"/>
        <v>1.0294604463090982</v>
      </c>
      <c r="AH61" s="45">
        <f t="shared" si="25"/>
        <v>-15537057.990000002</v>
      </c>
    </row>
    <row r="62" spans="1:34" ht="15.75" customHeight="1" thickBot="1">
      <c r="A62" s="139" t="s">
        <v>28</v>
      </c>
      <c r="B62" s="140"/>
      <c r="C62" s="95">
        <f>SUM(C49:C61)</f>
        <v>264867593</v>
      </c>
      <c r="D62" s="95">
        <f>SUM(D49:D61)</f>
        <v>250425295</v>
      </c>
      <c r="E62" s="12">
        <f t="shared" si="10"/>
        <v>0.9454735181589391</v>
      </c>
      <c r="F62" s="96">
        <f t="shared" si="15"/>
        <v>14442298</v>
      </c>
      <c r="G62" s="23">
        <f t="shared" si="16"/>
        <v>264867593</v>
      </c>
      <c r="J62" s="30"/>
      <c r="K62" s="43">
        <f>SUM(K49:K61)</f>
        <v>264867593</v>
      </c>
      <c r="L62" s="43">
        <f>SUM(L49:L61)</f>
        <v>250425295</v>
      </c>
      <c r="M62" s="39">
        <f t="shared" si="12"/>
        <v>0.9454735181589391</v>
      </c>
      <c r="N62" s="43">
        <f>SUM(N49:N61)</f>
        <v>14442298</v>
      </c>
      <c r="O62" s="43">
        <f>SUM(O49:O61)</f>
        <v>271926181</v>
      </c>
      <c r="P62" s="43">
        <f>SUM(P49:P61)</f>
        <v>331524757</v>
      </c>
      <c r="Q62" s="39">
        <f t="shared" si="13"/>
        <v>1.2191718935662175</v>
      </c>
      <c r="R62" s="43">
        <f>SUM(R49:R61)</f>
        <v>-59598576</v>
      </c>
      <c r="S62" s="43">
        <f>SUM(S49:S61)</f>
        <v>270182156</v>
      </c>
      <c r="T62" s="43">
        <f>SUM(T49:T61)</f>
        <v>315190608.11000001</v>
      </c>
      <c r="U62" s="39">
        <f t="shared" si="14"/>
        <v>1.166585583505374</v>
      </c>
      <c r="V62" s="43">
        <f>SUM(V49:V61)</f>
        <v>-45008452.109999999</v>
      </c>
      <c r="W62" s="43">
        <f t="shared" ref="W62:AH62" si="27">SUM(W49:W61)</f>
        <v>269482206</v>
      </c>
      <c r="X62" s="43">
        <f t="shared" si="27"/>
        <v>357437003.18000001</v>
      </c>
      <c r="Y62" s="39">
        <f t="shared" si="20"/>
        <v>1.3263844336349244</v>
      </c>
      <c r="Z62" s="43">
        <f t="shared" si="27"/>
        <v>345653526</v>
      </c>
      <c r="AA62" s="39">
        <f t="shared" si="21"/>
        <v>1.0340904295592228</v>
      </c>
      <c r="AB62" s="43">
        <f t="shared" si="27"/>
        <v>-87954797.180000007</v>
      </c>
      <c r="AC62" s="43">
        <f t="shared" si="27"/>
        <v>255607673</v>
      </c>
      <c r="AD62" s="43">
        <f t="shared" si="27"/>
        <v>336518472.64000005</v>
      </c>
      <c r="AE62" s="39">
        <f t="shared" si="23"/>
        <v>1.3165429217768436</v>
      </c>
      <c r="AF62" s="43">
        <f t="shared" si="27"/>
        <v>322179771</v>
      </c>
      <c r="AG62" s="39">
        <f t="shared" si="24"/>
        <v>1.0445052822388405</v>
      </c>
      <c r="AH62" s="43">
        <f t="shared" si="27"/>
        <v>-80910799.640000001</v>
      </c>
    </row>
    <row r="63" spans="1:34" ht="13.5" thickTop="1">
      <c r="J63" s="79"/>
    </row>
    <row r="64" spans="1:34">
      <c r="J64" s="79"/>
    </row>
    <row r="65" spans="10:10">
      <c r="J65" s="79"/>
    </row>
    <row r="66" spans="10:10">
      <c r="J66" s="79"/>
    </row>
    <row r="67" spans="10:10">
      <c r="J67" s="79"/>
    </row>
    <row r="68" spans="10:10">
      <c r="J68" s="79"/>
    </row>
    <row r="69" spans="10:10">
      <c r="J69" s="79"/>
    </row>
    <row r="70" spans="10:10">
      <c r="J70" s="79"/>
    </row>
    <row r="71" spans="10:10">
      <c r="J71" s="79"/>
    </row>
    <row r="72" spans="10:10">
      <c r="J72" s="79"/>
    </row>
    <row r="73" spans="10:10">
      <c r="J73" s="79"/>
    </row>
    <row r="74" spans="10:10">
      <c r="J74" s="79"/>
    </row>
    <row r="75" spans="10:10">
      <c r="J75" s="79"/>
    </row>
    <row r="76" spans="10:10">
      <c r="J76" s="80"/>
    </row>
    <row r="77" spans="10:10">
      <c r="J77" s="81"/>
    </row>
  </sheetData>
  <mergeCells count="28">
    <mergeCell ref="A59:B59"/>
    <mergeCell ref="A60:B60"/>
    <mergeCell ref="A61:B61"/>
    <mergeCell ref="A62:B62"/>
    <mergeCell ref="A53:B53"/>
    <mergeCell ref="A54:B54"/>
    <mergeCell ref="A55:B55"/>
    <mergeCell ref="A56:B56"/>
    <mergeCell ref="A57:B57"/>
    <mergeCell ref="A58:B58"/>
    <mergeCell ref="A52:B52"/>
    <mergeCell ref="A19:B19"/>
    <mergeCell ref="A20:B20"/>
    <mergeCell ref="A21:B21"/>
    <mergeCell ref="A22:B22"/>
    <mergeCell ref="A23:B23"/>
    <mergeCell ref="A24:B24"/>
    <mergeCell ref="A46:F46"/>
    <mergeCell ref="A48:B48"/>
    <mergeCell ref="A49:B49"/>
    <mergeCell ref="A50:B50"/>
    <mergeCell ref="A51:B51"/>
    <mergeCell ref="A18:B18"/>
    <mergeCell ref="B3:D3"/>
    <mergeCell ref="A13:F13"/>
    <mergeCell ref="A14:F14"/>
    <mergeCell ref="A16:B16"/>
    <mergeCell ref="A17:B17"/>
  </mergeCells>
  <printOptions horizontalCentered="1"/>
  <pageMargins left="0.5" right="0.5" top="0.5" bottom="0.5" header="0.5" footer="0.5"/>
  <pageSetup orientation="portrait" r:id="rId1"/>
  <headerFooter alignWithMargins="0"/>
  <rowBreaks count="1" manualBreakCount="1">
    <brk id="8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7"/>
  <sheetViews>
    <sheetView topLeftCell="E28" zoomScaleNormal="100" workbookViewId="0">
      <selection activeCell="K48" sqref="K48:AH62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7.625" style="2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4" style="2" bestFit="1" customWidth="1"/>
    <col min="12" max="12" width="13.125" style="2" bestFit="1" customWidth="1"/>
    <col min="13" max="13" width="10.25" style="2" customWidth="1"/>
    <col min="14" max="14" width="11.5" style="2" customWidth="1"/>
    <col min="15" max="15" width="11.875" style="2" customWidth="1"/>
    <col min="16" max="16" width="13.25" style="2" bestFit="1" customWidth="1"/>
    <col min="17" max="17" width="12.125" style="2" customWidth="1"/>
    <col min="18" max="18" width="12.5" style="2" bestFit="1" customWidth="1"/>
    <col min="19" max="19" width="13" style="2" customWidth="1"/>
    <col min="20" max="20" width="12.5" style="2" bestFit="1" customWidth="1"/>
    <col min="21" max="21" width="11.125" style="2" bestFit="1" customWidth="1"/>
    <col min="22" max="22" width="11.25" style="2" customWidth="1"/>
    <col min="23" max="23" width="12.625" style="2" customWidth="1"/>
    <col min="24" max="24" width="11.125" style="2" bestFit="1" customWidth="1"/>
    <col min="25" max="25" width="10.75" style="2" customWidth="1"/>
    <col min="26" max="26" width="12.5" style="2" bestFit="1" customWidth="1"/>
    <col min="27" max="27" width="10.875" style="2" customWidth="1"/>
    <col min="28" max="28" width="11.375" style="2" customWidth="1"/>
    <col min="29" max="29" width="11.75" style="2" customWidth="1"/>
    <col min="30" max="30" width="13" style="2" customWidth="1"/>
    <col min="31" max="31" width="9" style="2"/>
    <col min="32" max="32" width="11.125" style="2" customWidth="1"/>
    <col min="33" max="33" width="9" style="2"/>
    <col min="34" max="34" width="12.875" style="2" customWidth="1"/>
    <col min="35" max="16384" width="9" style="2"/>
  </cols>
  <sheetData>
    <row r="1" spans="1:29" ht="15.95" customHeight="1">
      <c r="E1" s="3"/>
      <c r="F1" s="3" t="s">
        <v>23</v>
      </c>
    </row>
    <row r="2" spans="1:29" ht="15.95" customHeight="1">
      <c r="E2" s="3"/>
      <c r="F2" s="3" t="s">
        <v>52</v>
      </c>
    </row>
    <row r="3" spans="1:29" ht="15.95" customHeight="1">
      <c r="B3" s="127" t="s">
        <v>41</v>
      </c>
      <c r="C3" s="127"/>
      <c r="D3" s="127"/>
      <c r="E3" s="3"/>
      <c r="F3" s="3" t="s">
        <v>53</v>
      </c>
    </row>
    <row r="4" spans="1:29" ht="15.95" customHeight="1">
      <c r="E4" s="3"/>
      <c r="F4" s="3" t="s">
        <v>54</v>
      </c>
    </row>
    <row r="5" spans="1:29" ht="15.95" customHeight="1">
      <c r="E5" s="3"/>
      <c r="F5" s="3" t="s">
        <v>24</v>
      </c>
    </row>
    <row r="6" spans="1:29" ht="15.75">
      <c r="A6" s="4"/>
      <c r="B6" s="4"/>
      <c r="C6" s="4"/>
      <c r="D6" s="5"/>
      <c r="E6" s="5"/>
      <c r="F6" s="4"/>
    </row>
    <row r="7" spans="1:29" ht="15.75">
      <c r="D7" s="3"/>
      <c r="E7" s="3"/>
    </row>
    <row r="8" spans="1:29" ht="19.5" customHeight="1">
      <c r="A8" s="6" t="s">
        <v>36</v>
      </c>
      <c r="B8" s="7" t="s">
        <v>37</v>
      </c>
    </row>
    <row r="9" spans="1:29" ht="19.5" customHeight="1">
      <c r="A9" s="6" t="s">
        <v>38</v>
      </c>
      <c r="B9" s="7" t="s">
        <v>93</v>
      </c>
    </row>
    <row r="10" spans="1:29" ht="19.5" customHeight="1">
      <c r="A10" s="6" t="s">
        <v>39</v>
      </c>
      <c r="B10" s="8">
        <v>41105</v>
      </c>
    </row>
    <row r="11" spans="1:29" ht="19.5" customHeight="1">
      <c r="A11" s="6" t="s">
        <v>40</v>
      </c>
      <c r="B11" s="7" t="s">
        <v>215</v>
      </c>
    </row>
    <row r="12" spans="1:29" ht="19.5" customHeight="1">
      <c r="A12" s="6"/>
      <c r="B12" s="7"/>
    </row>
    <row r="13" spans="1:29" ht="50.1" customHeight="1">
      <c r="A13" s="132"/>
      <c r="B13" s="132"/>
      <c r="C13" s="132"/>
      <c r="D13" s="132"/>
      <c r="E13" s="132"/>
      <c r="F13" s="132"/>
    </row>
    <row r="14" spans="1:29" ht="31.5" customHeight="1">
      <c r="A14" s="133" t="s">
        <v>172</v>
      </c>
      <c r="B14" s="133"/>
      <c r="C14" s="133"/>
      <c r="D14" s="133"/>
      <c r="E14" s="133"/>
      <c r="F14" s="133"/>
    </row>
    <row r="15" spans="1:29">
      <c r="K15" s="34"/>
      <c r="L15" s="34"/>
      <c r="M15" s="34"/>
      <c r="N15" s="34"/>
    </row>
    <row r="16" spans="1:29" ht="38.25">
      <c r="A16" s="134"/>
      <c r="B16" s="134"/>
      <c r="C16" s="9" t="s">
        <v>196</v>
      </c>
      <c r="D16" s="9" t="s">
        <v>216</v>
      </c>
      <c r="E16" s="9" t="s">
        <v>25</v>
      </c>
      <c r="F16" s="9" t="s">
        <v>141</v>
      </c>
      <c r="G16" s="10">
        <v>0.75</v>
      </c>
      <c r="H16" s="2" t="s">
        <v>42</v>
      </c>
      <c r="I16" s="10">
        <v>0.75</v>
      </c>
      <c r="K16" s="9" t="s">
        <v>196</v>
      </c>
      <c r="L16" s="9" t="s">
        <v>218</v>
      </c>
      <c r="M16" s="9">
        <v>2012</v>
      </c>
      <c r="N16" s="9" t="s">
        <v>151</v>
      </c>
      <c r="O16" s="9" t="s">
        <v>219</v>
      </c>
      <c r="P16" s="9" t="s">
        <v>192</v>
      </c>
      <c r="Q16" s="9">
        <v>2011</v>
      </c>
      <c r="R16" s="9" t="s">
        <v>94</v>
      </c>
      <c r="S16" s="9" t="s">
        <v>220</v>
      </c>
      <c r="T16" s="9" t="s">
        <v>193</v>
      </c>
      <c r="U16" s="9">
        <v>2010</v>
      </c>
      <c r="V16" s="9" t="s">
        <v>1</v>
      </c>
      <c r="W16" s="9" t="s">
        <v>140</v>
      </c>
      <c r="X16" s="9" t="s">
        <v>106</v>
      </c>
      <c r="Y16" s="9">
        <v>2009</v>
      </c>
      <c r="Z16" s="9" t="s">
        <v>104</v>
      </c>
      <c r="AA16" s="9" t="s">
        <v>221</v>
      </c>
      <c r="AB16" s="9" t="s">
        <v>107</v>
      </c>
      <c r="AC16" s="9">
        <v>2008</v>
      </c>
    </row>
    <row r="17" spans="1:29" ht="15.75" customHeight="1">
      <c r="A17" s="131" t="s">
        <v>26</v>
      </c>
      <c r="B17" s="131"/>
      <c r="C17" s="89">
        <f t="shared" ref="C17:D23" si="0">K17</f>
        <v>172920521</v>
      </c>
      <c r="D17" s="89">
        <f t="shared" si="0"/>
        <v>174211368</v>
      </c>
      <c r="E17" s="12">
        <f t="shared" ref="E17:E24" si="1">(D17/C17)</f>
        <v>1.0074649728819636</v>
      </c>
      <c r="F17" s="96">
        <f t="shared" ref="F17:F23" si="2">D17-G17</f>
        <v>44520977.25</v>
      </c>
      <c r="G17" s="14">
        <f>C17*0.75</f>
        <v>129690390.75</v>
      </c>
      <c r="H17" s="15">
        <v>0</v>
      </c>
      <c r="I17" s="10">
        <v>0.75</v>
      </c>
      <c r="J17" s="21" t="str">
        <f>A17</f>
        <v>Current / Delinquent Taxes</v>
      </c>
      <c r="K17" s="82">
        <v>172920521</v>
      </c>
      <c r="L17" s="82">
        <v>174211368</v>
      </c>
      <c r="M17" s="41">
        <f>L17/K17</f>
        <v>1.0074649728819636</v>
      </c>
      <c r="N17" s="82">
        <v>170741229</v>
      </c>
      <c r="O17" s="82">
        <v>170012101</v>
      </c>
      <c r="P17" s="82">
        <v>171396885</v>
      </c>
      <c r="Q17" s="41">
        <f>(O17/P17)</f>
        <v>0.99192059995722792</v>
      </c>
      <c r="R17" s="11">
        <v>175930506</v>
      </c>
      <c r="S17" s="11">
        <v>173979625.33000001</v>
      </c>
      <c r="T17" s="11">
        <v>175482441</v>
      </c>
      <c r="U17" s="12">
        <f>(S17/T17)</f>
        <v>0.99143609091920493</v>
      </c>
      <c r="V17" s="11">
        <f>'FY 2009 Rev 01-15-10'!E3</f>
        <v>173590951</v>
      </c>
      <c r="W17" s="11">
        <f>SUM('FY 2009 Rev 01-15-10'!F3:N3)</f>
        <v>172769380.41</v>
      </c>
      <c r="X17" s="11">
        <v>174855279</v>
      </c>
      <c r="Y17" s="12">
        <f t="shared" ref="Y17:Y24" si="3">W17/X17</f>
        <v>0.98807071423905934</v>
      </c>
      <c r="Z17" s="11">
        <v>171068428</v>
      </c>
      <c r="AA17" s="11">
        <f>SUM('FY 2008 Rev 01-15-10'!F3:N3)</f>
        <v>168530025.16999999</v>
      </c>
      <c r="AB17" s="11">
        <v>171033213</v>
      </c>
      <c r="AC17" s="12">
        <f t="shared" ref="AC17:AC24" si="4">AA17/AB17</f>
        <v>0.98536431733876151</v>
      </c>
    </row>
    <row r="18" spans="1:29" ht="15.75" customHeight="1">
      <c r="A18" s="131" t="s">
        <v>95</v>
      </c>
      <c r="B18" s="131"/>
      <c r="C18" s="16">
        <f t="shared" si="0"/>
        <v>280300</v>
      </c>
      <c r="D18" s="16">
        <f t="shared" si="0"/>
        <v>232076</v>
      </c>
      <c r="E18" s="12">
        <f>(D18/C18)</f>
        <v>0.82795576168391005</v>
      </c>
      <c r="F18" s="22">
        <f>D18-G18</f>
        <v>21851</v>
      </c>
      <c r="G18" s="14">
        <f t="shared" ref="G18:G24" si="5">C18*0.75</f>
        <v>210225</v>
      </c>
      <c r="H18" s="15">
        <f>C18-D18</f>
        <v>48224</v>
      </c>
      <c r="I18" s="10">
        <v>0.75</v>
      </c>
      <c r="J18" s="21" t="str">
        <f t="shared" ref="J18:J23" si="6">A18</f>
        <v>License / Permits</v>
      </c>
      <c r="K18" s="83">
        <v>280300</v>
      </c>
      <c r="L18" s="83">
        <f>3500+228576</f>
        <v>232076</v>
      </c>
      <c r="M18" s="41">
        <f t="shared" ref="M18:M23" si="7">L18/K18</f>
        <v>0.82795576168391005</v>
      </c>
      <c r="N18" s="83">
        <v>246000</v>
      </c>
      <c r="O18" s="83">
        <v>260566</v>
      </c>
      <c r="P18" s="83">
        <v>315483</v>
      </c>
      <c r="Q18" s="41">
        <f t="shared" ref="Q18:Q24" si="8">(O18/P18)</f>
        <v>0.82592722904245242</v>
      </c>
      <c r="R18" s="16">
        <v>335854</v>
      </c>
      <c r="S18" s="28">
        <v>212828.2</v>
      </c>
      <c r="T18" s="28">
        <v>255670</v>
      </c>
      <c r="U18" s="12">
        <f t="shared" ref="U18:U24" si="9">(S18/T18)</f>
        <v>0.83243321469081244</v>
      </c>
      <c r="V18" s="28">
        <f>'FY 2009 Rev 01-15-10'!E6</f>
        <v>650650</v>
      </c>
      <c r="W18" s="28">
        <f>SUM('FY 2009 Rev 01-15-10'!F6:N6)</f>
        <v>226602.73999999996</v>
      </c>
      <c r="X18" s="28">
        <f>'FY 2009 Rev 01-15-10'!D6</f>
        <v>283457.14</v>
      </c>
      <c r="Y18" s="12">
        <f t="shared" si="3"/>
        <v>0.79942505593614599</v>
      </c>
      <c r="Z18" s="28">
        <v>826700</v>
      </c>
      <c r="AA18" s="28">
        <f>SUM('FY 2008 Rev 01-15-10'!F6:N6)</f>
        <v>477510.12000000005</v>
      </c>
      <c r="AB18" s="28">
        <v>653857</v>
      </c>
      <c r="AC18" s="12">
        <f t="shared" si="4"/>
        <v>0.73029748094766911</v>
      </c>
    </row>
    <row r="19" spans="1:29" ht="15.75" customHeight="1">
      <c r="A19" s="131" t="s">
        <v>51</v>
      </c>
      <c r="B19" s="131"/>
      <c r="C19" s="16">
        <f t="shared" si="0"/>
        <v>9897851</v>
      </c>
      <c r="D19" s="16">
        <f t="shared" si="0"/>
        <v>13613187</v>
      </c>
      <c r="E19" s="12">
        <f t="shared" si="1"/>
        <v>1.3753679460319215</v>
      </c>
      <c r="F19" s="22">
        <f t="shared" si="2"/>
        <v>6189798.75</v>
      </c>
      <c r="G19" s="14">
        <f t="shared" si="5"/>
        <v>7423388.25</v>
      </c>
      <c r="H19" s="27">
        <v>0</v>
      </c>
      <c r="I19" s="10">
        <v>0.75</v>
      </c>
      <c r="J19" s="21" t="str">
        <f t="shared" si="6"/>
        <v>Intergovernmental Revenue</v>
      </c>
      <c r="K19" s="83">
        <v>9897851</v>
      </c>
      <c r="L19" s="83">
        <f>1728304+293922+839384+9285666+1495782-29871</f>
        <v>13613187</v>
      </c>
      <c r="M19" s="41">
        <f t="shared" si="7"/>
        <v>1.3753679460319215</v>
      </c>
      <c r="N19" s="83">
        <v>10310296</v>
      </c>
      <c r="O19" s="83">
        <v>15205124</v>
      </c>
      <c r="P19" s="83">
        <v>20939933</v>
      </c>
      <c r="Q19" s="41">
        <f t="shared" si="8"/>
        <v>0.7261304990803934</v>
      </c>
      <c r="R19" s="16">
        <v>10763558</v>
      </c>
      <c r="S19" s="28">
        <v>9403206.629999999</v>
      </c>
      <c r="T19" s="28">
        <v>17592701</v>
      </c>
      <c r="U19" s="12">
        <f t="shared" si="9"/>
        <v>0.53449476746066449</v>
      </c>
      <c r="V19" s="28">
        <f>'FY 2009 Rev 01-15-10'!E13</f>
        <v>9723482</v>
      </c>
      <c r="W19" s="28">
        <f>SUM('FY 2009 Rev 01-15-10'!F13:N13)</f>
        <v>11878328.279999999</v>
      </c>
      <c r="X19" s="28">
        <v>18219983</v>
      </c>
      <c r="Y19" s="12">
        <f t="shared" si="3"/>
        <v>0.65193959182069483</v>
      </c>
      <c r="Z19" s="28">
        <v>14349223</v>
      </c>
      <c r="AA19" s="28">
        <f>SUM('FY 2008 Rev 01-15-10'!F12:N12)</f>
        <v>10791727.23</v>
      </c>
      <c r="AB19" s="28">
        <v>14374024</v>
      </c>
      <c r="AC19" s="12">
        <f t="shared" si="4"/>
        <v>0.75077982546849797</v>
      </c>
    </row>
    <row r="20" spans="1:29" ht="15.75" customHeight="1">
      <c r="A20" s="131" t="s">
        <v>2</v>
      </c>
      <c r="B20" s="131"/>
      <c r="C20" s="16">
        <f t="shared" si="0"/>
        <v>39758436</v>
      </c>
      <c r="D20" s="16">
        <f t="shared" si="0"/>
        <v>32026556</v>
      </c>
      <c r="E20" s="12">
        <f t="shared" si="1"/>
        <v>0.80552856757242663</v>
      </c>
      <c r="F20" s="22">
        <f t="shared" si="2"/>
        <v>2207729</v>
      </c>
      <c r="G20" s="14">
        <f t="shared" si="5"/>
        <v>29818827</v>
      </c>
      <c r="H20" s="27">
        <f>C20-D20</f>
        <v>7731880</v>
      </c>
      <c r="I20" s="10">
        <v>0.75</v>
      </c>
      <c r="J20" s="21" t="str">
        <f t="shared" si="6"/>
        <v>Fees/Charges for Services</v>
      </c>
      <c r="K20" s="83">
        <v>39758436</v>
      </c>
      <c r="L20" s="83">
        <f>6230613+4783149+6216964+22980+3048784+11724066</f>
        <v>32026556</v>
      </c>
      <c r="M20" s="41">
        <f t="shared" si="7"/>
        <v>0.80552856757242663</v>
      </c>
      <c r="N20" s="83">
        <v>38925096</v>
      </c>
      <c r="O20" s="83">
        <v>29392645</v>
      </c>
      <c r="P20" s="83">
        <v>38970040</v>
      </c>
      <c r="Q20" s="41">
        <f t="shared" si="8"/>
        <v>0.75423697281296098</v>
      </c>
      <c r="R20" s="16">
        <v>40351226</v>
      </c>
      <c r="S20" s="28">
        <v>28642345.460000001</v>
      </c>
      <c r="T20" s="28">
        <v>37730335</v>
      </c>
      <c r="U20" s="12">
        <f t="shared" si="9"/>
        <v>0.75913308111364508</v>
      </c>
      <c r="V20" s="28">
        <f>'FY 2009 Rev 01-15-10'!E21</f>
        <v>38656872</v>
      </c>
      <c r="W20" s="28">
        <f>SUM('FY 2009 Rev 01-15-10'!F21:N21)</f>
        <v>27411601.84</v>
      </c>
      <c r="X20" s="28">
        <v>38824924</v>
      </c>
      <c r="Y20" s="12">
        <f t="shared" si="3"/>
        <v>0.70603104953920837</v>
      </c>
      <c r="Z20" s="28">
        <v>34135331</v>
      </c>
      <c r="AA20" s="28">
        <f>SUM('FY 2008 Rev 01-15-10'!F20:N20)</f>
        <v>29665368.060000002</v>
      </c>
      <c r="AB20" s="28">
        <v>39510792</v>
      </c>
      <c r="AC20" s="12">
        <f t="shared" si="4"/>
        <v>0.7508168416365838</v>
      </c>
    </row>
    <row r="21" spans="1:29" ht="15.75" customHeight="1">
      <c r="A21" s="131" t="s">
        <v>4</v>
      </c>
      <c r="B21" s="131"/>
      <c r="C21" s="16">
        <f t="shared" si="0"/>
        <v>3622500</v>
      </c>
      <c r="D21" s="16">
        <f t="shared" si="0"/>
        <v>2944990</v>
      </c>
      <c r="E21" s="12">
        <f t="shared" si="1"/>
        <v>0.81297170462387858</v>
      </c>
      <c r="F21" s="22">
        <f t="shared" si="2"/>
        <v>228115</v>
      </c>
      <c r="G21" s="14">
        <f t="shared" si="5"/>
        <v>2716875</v>
      </c>
      <c r="H21" s="27">
        <f>C21-D21</f>
        <v>677510</v>
      </c>
      <c r="I21" s="10">
        <v>0.75</v>
      </c>
      <c r="J21" s="21" t="str">
        <f t="shared" si="6"/>
        <v>Fines</v>
      </c>
      <c r="K21" s="83">
        <v>3622500</v>
      </c>
      <c r="L21" s="83">
        <v>2944990</v>
      </c>
      <c r="M21" s="41">
        <f t="shared" si="7"/>
        <v>0.81297170462387858</v>
      </c>
      <c r="N21" s="83">
        <v>3814000</v>
      </c>
      <c r="O21" s="83">
        <v>2674351</v>
      </c>
      <c r="P21" s="83">
        <v>3811745</v>
      </c>
      <c r="Q21" s="41">
        <f t="shared" si="8"/>
        <v>0.70160805615275945</v>
      </c>
      <c r="R21" s="16">
        <v>4596375</v>
      </c>
      <c r="S21" s="28">
        <v>2869668.2</v>
      </c>
      <c r="T21" s="28">
        <v>3846674</v>
      </c>
      <c r="U21" s="12">
        <f t="shared" si="9"/>
        <v>0.74601284122335298</v>
      </c>
      <c r="V21" s="28">
        <f>'FY 2009 Rev 01-15-10'!E23</f>
        <v>4675500</v>
      </c>
      <c r="W21" s="28">
        <f>SUM('FY 2009 Rev 01-15-10'!F23:N23)</f>
        <v>3329381.45</v>
      </c>
      <c r="X21" s="28">
        <v>4484058</v>
      </c>
      <c r="Y21" s="12">
        <f t="shared" si="3"/>
        <v>0.74249294946675537</v>
      </c>
      <c r="Z21" s="28">
        <v>5009825</v>
      </c>
      <c r="AA21" s="28">
        <f>SUM('FY 2008 Rev 01-15-10'!F22:N22)</f>
        <v>3712959.5</v>
      </c>
      <c r="AB21" s="28">
        <v>5028906</v>
      </c>
      <c r="AC21" s="12">
        <f t="shared" si="4"/>
        <v>0.73832350415776316</v>
      </c>
    </row>
    <row r="22" spans="1:29" ht="15.75" customHeight="1">
      <c r="A22" s="131" t="s">
        <v>3</v>
      </c>
      <c r="B22" s="131"/>
      <c r="C22" s="16">
        <f t="shared" si="0"/>
        <v>3963042</v>
      </c>
      <c r="D22" s="16">
        <f t="shared" si="0"/>
        <v>2118391</v>
      </c>
      <c r="E22" s="12">
        <f t="shared" si="1"/>
        <v>0.53453660092423949</v>
      </c>
      <c r="F22" s="22">
        <f t="shared" si="2"/>
        <v>-853890.5</v>
      </c>
      <c r="G22" s="14">
        <f t="shared" si="5"/>
        <v>2972281.5</v>
      </c>
      <c r="H22" s="27">
        <f>C22-D22</f>
        <v>1844651</v>
      </c>
      <c r="I22" s="10">
        <v>0.75</v>
      </c>
      <c r="J22" s="21" t="str">
        <f t="shared" si="6"/>
        <v>Investment Revenue</v>
      </c>
      <c r="K22" s="83">
        <v>3963042</v>
      </c>
      <c r="L22" s="83">
        <f>821540+1296851</f>
        <v>2118391</v>
      </c>
      <c r="M22" s="41">
        <f t="shared" si="7"/>
        <v>0.53453660092423949</v>
      </c>
      <c r="N22" s="83">
        <v>3023647</v>
      </c>
      <c r="O22" s="83">
        <v>2829690</v>
      </c>
      <c r="P22" s="83">
        <v>4280332</v>
      </c>
      <c r="Q22" s="41">
        <f t="shared" si="8"/>
        <v>0.66109124245502449</v>
      </c>
      <c r="R22" s="16">
        <v>6218768</v>
      </c>
      <c r="S22" s="28">
        <v>4085530.95</v>
      </c>
      <c r="T22" s="28">
        <v>4363907</v>
      </c>
      <c r="U22" s="12">
        <f t="shared" si="9"/>
        <v>0.93620944488505375</v>
      </c>
      <c r="V22" s="28">
        <f>'FY 2009 Rev 01-15-10'!E26</f>
        <v>9130674</v>
      </c>
      <c r="W22" s="28">
        <f>SUM('FY 2009 Rev 01-15-10'!F26:N26)</f>
        <v>6553315.0100000007</v>
      </c>
      <c r="X22" s="28">
        <v>6645972</v>
      </c>
      <c r="Y22" s="12">
        <f t="shared" si="3"/>
        <v>0.98605817328150058</v>
      </c>
      <c r="Z22" s="28">
        <v>13003197</v>
      </c>
      <c r="AA22" s="28">
        <f>SUM('FY 2008 Rev 01-15-10'!F25:N25)</f>
        <v>12729550.369999999</v>
      </c>
      <c r="AB22" s="28">
        <v>12385827</v>
      </c>
      <c r="AC22" s="12">
        <f t="shared" si="4"/>
        <v>1.027751345953726</v>
      </c>
    </row>
    <row r="23" spans="1:29" ht="15.75" customHeight="1" thickBot="1">
      <c r="A23" s="131" t="s">
        <v>27</v>
      </c>
      <c r="B23" s="131"/>
      <c r="C23" s="16">
        <f t="shared" si="0"/>
        <v>28888485</v>
      </c>
      <c r="D23" s="16">
        <f t="shared" si="0"/>
        <v>33073586</v>
      </c>
      <c r="E23" s="12">
        <f t="shared" si="1"/>
        <v>1.1448709061759383</v>
      </c>
      <c r="F23" s="22">
        <f t="shared" si="2"/>
        <v>11407222.25</v>
      </c>
      <c r="G23" s="14">
        <f t="shared" si="5"/>
        <v>21666363.75</v>
      </c>
      <c r="H23" s="27">
        <v>0</v>
      </c>
      <c r="I23" s="10">
        <v>0.75</v>
      </c>
      <c r="J23" s="21" t="str">
        <f t="shared" si="6"/>
        <v>Miscellaneous</v>
      </c>
      <c r="K23" s="84">
        <f>18907985+895500+9085000</f>
        <v>28888485</v>
      </c>
      <c r="L23" s="84">
        <f>2286807+1174868+18612216+13071+49050+872684+132169+85614+9600795+246312</f>
        <v>33073586</v>
      </c>
      <c r="M23" s="38">
        <f t="shared" si="7"/>
        <v>1.1448709061759383</v>
      </c>
      <c r="N23" s="84">
        <f>19311594+880940+9605000+10000</f>
        <v>29807534</v>
      </c>
      <c r="O23" s="84">
        <v>57484982</v>
      </c>
      <c r="P23" s="84">
        <f>23895082+1539427+37182911</f>
        <v>62617420</v>
      </c>
      <c r="Q23" s="38">
        <f t="shared" si="8"/>
        <v>0.91803498131989469</v>
      </c>
      <c r="R23" s="32">
        <f>19563765+980361+9265036</f>
        <v>29809162</v>
      </c>
      <c r="S23" s="33">
        <v>29575891.690000001</v>
      </c>
      <c r="T23" s="33">
        <f>23433323+1210790+10505556</f>
        <v>35149669</v>
      </c>
      <c r="U23" s="38">
        <f t="shared" si="9"/>
        <v>0.84142731728142306</v>
      </c>
      <c r="V23" s="33">
        <f>'FY 2009 Rev 01-15-10'!E30+'FY 2009 Rev 01-15-10'!E36+'FY 2009 Rev 01-15-10'!E43</f>
        <v>27526735</v>
      </c>
      <c r="W23" s="33">
        <f>SUM('FY 2009 Rev 01-15-10'!F30:N30,'FY 2009 Rev 01-15-10'!F36:N36,'FY 2009 Rev 01-15-10'!F43:N43)</f>
        <v>30987206.150000006</v>
      </c>
      <c r="X23" s="33">
        <f>21039243+2205778+66559129</f>
        <v>89804150</v>
      </c>
      <c r="Y23" s="38">
        <f t="shared" si="3"/>
        <v>0.34505316458092422</v>
      </c>
      <c r="Z23" s="33">
        <f>16681375+864500+9409162</f>
        <v>26955037</v>
      </c>
      <c r="AA23" s="33">
        <f>SUM('FY 2008 Rev 01-15-10'!F29:N29,'FY 2008 Rev 01-15-10'!F35:N35,'FY 2008 Rev 01-15-10'!F41:N41)</f>
        <v>29731668.530000005</v>
      </c>
      <c r="AB23" s="33">
        <f>21802800+2598162+31796434</f>
        <v>56197396</v>
      </c>
      <c r="AC23" s="38">
        <f t="shared" si="4"/>
        <v>0.52905776150197426</v>
      </c>
    </row>
    <row r="24" spans="1:29" ht="15.75" customHeight="1" thickBot="1">
      <c r="A24" s="137" t="s">
        <v>28</v>
      </c>
      <c r="B24" s="137"/>
      <c r="C24" s="94">
        <f>SUM(C17:C23)</f>
        <v>259331135</v>
      </c>
      <c r="D24" s="94">
        <f>SUM(D17:D23)</f>
        <v>258220154</v>
      </c>
      <c r="E24" s="12">
        <f t="shared" si="1"/>
        <v>0.99571597525302935</v>
      </c>
      <c r="F24" s="98">
        <f>SUM(F17:F23)</f>
        <v>63721802.75</v>
      </c>
      <c r="G24" s="14">
        <f t="shared" si="5"/>
        <v>194498351.25</v>
      </c>
      <c r="H24" s="27"/>
      <c r="J24" s="21"/>
      <c r="K24" s="85">
        <f>SUM(K17:K23)</f>
        <v>259331135</v>
      </c>
      <c r="L24" s="85">
        <f>SUM(L17:L23)</f>
        <v>258220154</v>
      </c>
      <c r="M24" s="39">
        <f>(L24/K24)</f>
        <v>0.99571597525302935</v>
      </c>
      <c r="N24" s="85">
        <f>SUM(N17:N23)</f>
        <v>256867802</v>
      </c>
      <c r="O24" s="85">
        <f>SUM(O17:O23)</f>
        <v>277859459</v>
      </c>
      <c r="P24" s="85">
        <f>SUM(P17:P23)</f>
        <v>302331838</v>
      </c>
      <c r="Q24" s="39">
        <f t="shared" si="8"/>
        <v>0.91905457539010493</v>
      </c>
      <c r="R24" s="31">
        <f>SUM(R17:R23)</f>
        <v>268005449</v>
      </c>
      <c r="S24" s="31">
        <f>SUM(S17:S23)</f>
        <v>248769096.45999998</v>
      </c>
      <c r="T24" s="31">
        <f>SUM(T17:T23)</f>
        <v>274421397</v>
      </c>
      <c r="U24" s="39">
        <f t="shared" si="9"/>
        <v>0.90652222887707246</v>
      </c>
      <c r="V24" s="31">
        <f>SUM(V17:V23)</f>
        <v>263954864</v>
      </c>
      <c r="W24" s="31">
        <f>SUM(W17:W23)</f>
        <v>253155815.88</v>
      </c>
      <c r="X24" s="31">
        <f>SUM(X17:X23)</f>
        <v>333117823.13999999</v>
      </c>
      <c r="Y24" s="39">
        <f t="shared" si="3"/>
        <v>0.75995878423354668</v>
      </c>
      <c r="Z24" s="31">
        <f>SUM(Z17:Z23)</f>
        <v>265347741</v>
      </c>
      <c r="AA24" s="31">
        <f>SUM(AA17:AA23)</f>
        <v>255638808.97999999</v>
      </c>
      <c r="AB24" s="31">
        <f>SUM(AB17:AB23)</f>
        <v>299184015</v>
      </c>
      <c r="AC24" s="39">
        <f t="shared" si="4"/>
        <v>0.85445343388415984</v>
      </c>
    </row>
    <row r="25" spans="1:29" ht="22.5" customHeight="1" thickTop="1">
      <c r="J25" s="21"/>
      <c r="K25" s="26"/>
    </row>
    <row r="26" spans="1:29">
      <c r="J26" s="21"/>
      <c r="K26" s="26"/>
    </row>
    <row r="40" spans="1:34">
      <c r="J40" s="35"/>
      <c r="K40" s="35"/>
    </row>
    <row r="41" spans="1:34">
      <c r="J41" s="35"/>
      <c r="K41" s="35"/>
    </row>
    <row r="42" spans="1:34">
      <c r="J42" s="35"/>
      <c r="K42" s="35"/>
    </row>
    <row r="43" spans="1:34">
      <c r="J43" s="35"/>
      <c r="K43" s="35"/>
    </row>
    <row r="44" spans="1:34">
      <c r="J44" s="35"/>
      <c r="K44" s="35"/>
    </row>
    <row r="45" spans="1:34">
      <c r="J45" s="35"/>
      <c r="K45" s="35"/>
    </row>
    <row r="46" spans="1:34" ht="33" customHeight="1">
      <c r="A46" s="133" t="s">
        <v>173</v>
      </c>
      <c r="B46" s="133"/>
      <c r="C46" s="133"/>
      <c r="D46" s="133"/>
      <c r="E46" s="133"/>
      <c r="F46" s="133"/>
      <c r="J46" s="35"/>
      <c r="K46" s="35"/>
    </row>
    <row r="47" spans="1:34" ht="12" customHeight="1">
      <c r="B47" s="18"/>
      <c r="C47" s="18"/>
      <c r="D47" s="18"/>
      <c r="E47" s="18"/>
      <c r="J47" s="35"/>
      <c r="K47" s="35"/>
    </row>
    <row r="48" spans="1:34" ht="36" customHeight="1">
      <c r="A48" s="138"/>
      <c r="B48" s="138"/>
      <c r="C48" s="19" t="s">
        <v>196</v>
      </c>
      <c r="D48" s="19" t="s">
        <v>217</v>
      </c>
      <c r="E48" s="19" t="s">
        <v>25</v>
      </c>
      <c r="F48" s="9" t="s">
        <v>141</v>
      </c>
      <c r="G48" s="10">
        <v>0.75</v>
      </c>
      <c r="H48" s="2" t="s">
        <v>43</v>
      </c>
      <c r="K48" s="40" t="s">
        <v>196</v>
      </c>
      <c r="L48" s="36" t="s">
        <v>222</v>
      </c>
      <c r="M48" s="37">
        <v>2012</v>
      </c>
      <c r="N48" s="36" t="s">
        <v>201</v>
      </c>
      <c r="O48" s="40" t="s">
        <v>151</v>
      </c>
      <c r="P48" s="36" t="s">
        <v>223</v>
      </c>
      <c r="Q48" s="37">
        <v>2011</v>
      </c>
      <c r="R48" s="36" t="s">
        <v>156</v>
      </c>
      <c r="S48" s="40" t="s">
        <v>94</v>
      </c>
      <c r="T48" s="36" t="s">
        <v>224</v>
      </c>
      <c r="U48" s="37">
        <v>2010</v>
      </c>
      <c r="V48" s="36" t="s">
        <v>109</v>
      </c>
      <c r="W48" s="36" t="s">
        <v>1</v>
      </c>
      <c r="X48" s="36" t="s">
        <v>142</v>
      </c>
      <c r="Y48" s="37">
        <v>2009</v>
      </c>
      <c r="Z48" s="36" t="s">
        <v>111</v>
      </c>
      <c r="AA48" s="36">
        <v>2009</v>
      </c>
      <c r="AB48" s="36" t="s">
        <v>112</v>
      </c>
      <c r="AC48" s="36" t="s">
        <v>104</v>
      </c>
      <c r="AD48" s="36" t="s">
        <v>143</v>
      </c>
      <c r="AE48" s="37">
        <v>2008</v>
      </c>
      <c r="AF48" s="36" t="s">
        <v>114</v>
      </c>
      <c r="AG48" s="36">
        <v>2008</v>
      </c>
      <c r="AH48" s="36" t="s">
        <v>115</v>
      </c>
    </row>
    <row r="49" spans="1:34" ht="15.75" customHeight="1">
      <c r="A49" s="135" t="s">
        <v>29</v>
      </c>
      <c r="B49" s="136"/>
      <c r="C49" s="94">
        <f>K49</f>
        <v>304283</v>
      </c>
      <c r="D49" s="94">
        <f>L49</f>
        <v>182160</v>
      </c>
      <c r="E49" s="12">
        <f t="shared" ref="E49:E62" si="10">(D49/C49)</f>
        <v>0.59865322742315541</v>
      </c>
      <c r="F49" s="22">
        <f>+G49-D49</f>
        <v>46052.25</v>
      </c>
      <c r="G49" s="23">
        <f>C49*0.75</f>
        <v>228212.25</v>
      </c>
      <c r="H49" s="24">
        <f t="shared" ref="H49:H61" si="11">C49-D49</f>
        <v>122123</v>
      </c>
      <c r="I49" s="1">
        <v>0.75</v>
      </c>
      <c r="J49" s="35" t="s">
        <v>29</v>
      </c>
      <c r="K49" s="13">
        <v>304283</v>
      </c>
      <c r="L49" s="82">
        <v>182160</v>
      </c>
      <c r="M49" s="41">
        <f t="shared" ref="M49:M62" si="12">(L49/K49)</f>
        <v>0.59865322742315541</v>
      </c>
      <c r="N49" s="13">
        <f>K49-L49</f>
        <v>122123</v>
      </c>
      <c r="O49" s="13">
        <v>359430</v>
      </c>
      <c r="P49" s="82">
        <v>213324</v>
      </c>
      <c r="Q49" s="41">
        <f t="shared" ref="Q49:Q62" si="13">(P49/O49)</f>
        <v>0.59350638510975706</v>
      </c>
      <c r="R49" s="13">
        <f>O49-P49</f>
        <v>146106</v>
      </c>
      <c r="S49" s="13">
        <v>346531</v>
      </c>
      <c r="T49" s="13">
        <v>202151.94</v>
      </c>
      <c r="U49" s="41">
        <f t="shared" ref="U49:U62" si="14">(T49/S49)</f>
        <v>0.58335889141231234</v>
      </c>
      <c r="V49" s="13">
        <f>S49-T49</f>
        <v>144379.06</v>
      </c>
      <c r="W49" s="13">
        <f>'FY 2009 Exp 01-15-10'!C2</f>
        <v>351630</v>
      </c>
      <c r="X49" s="13">
        <f>SUM('FY 2009 Exp 01-15-10'!F2:N2)</f>
        <v>222682.82</v>
      </c>
      <c r="Y49" s="41">
        <f>X49/W49</f>
        <v>0.63328731905696334</v>
      </c>
      <c r="Z49" s="13">
        <f>'FY 2009 Exp 01-15-10'!D2</f>
        <v>525313</v>
      </c>
      <c r="AA49" s="41">
        <f>X49/Z49</f>
        <v>0.42390502424268961</v>
      </c>
      <c r="AB49" s="13">
        <f>W49-X49</f>
        <v>128947.18</v>
      </c>
      <c r="AC49" s="13">
        <f>'FY 2008 Exp 01-15-10'!C2</f>
        <v>370277</v>
      </c>
      <c r="AD49" s="13">
        <f>SUM('FY 2008 Exp 01-15-10'!F2:N2)</f>
        <v>253196.29</v>
      </c>
      <c r="AE49" s="41">
        <f>AD49/AC49</f>
        <v>0.68380236957737051</v>
      </c>
      <c r="AF49" s="13">
        <f>'FY 2008 Exp 01-15-10'!D2</f>
        <v>727556</v>
      </c>
      <c r="AG49" s="41">
        <f>AD49/AF49</f>
        <v>0.34800934910852221</v>
      </c>
      <c r="AH49" s="13">
        <f>AC49-AD49</f>
        <v>117080.70999999999</v>
      </c>
    </row>
    <row r="50" spans="1:34" ht="15.75" customHeight="1">
      <c r="A50" s="135" t="s">
        <v>116</v>
      </c>
      <c r="B50" s="136"/>
      <c r="C50" s="88">
        <f>K50</f>
        <v>1166679</v>
      </c>
      <c r="D50" s="88">
        <f>L50</f>
        <v>904062</v>
      </c>
      <c r="E50" s="12">
        <f t="shared" si="10"/>
        <v>0.77490209389215026</v>
      </c>
      <c r="F50" s="22">
        <f t="shared" ref="F50:F62" si="15">+G50-D50</f>
        <v>-29052.75</v>
      </c>
      <c r="G50" s="23">
        <f t="shared" ref="G50:G62" si="16">C50*0.75</f>
        <v>875009.25</v>
      </c>
      <c r="H50" s="25">
        <f t="shared" si="11"/>
        <v>262617</v>
      </c>
      <c r="I50" s="1">
        <v>0.75</v>
      </c>
      <c r="J50" s="35" t="s">
        <v>116</v>
      </c>
      <c r="K50" s="83">
        <v>1166679</v>
      </c>
      <c r="L50" s="86">
        <v>904062</v>
      </c>
      <c r="M50" s="41">
        <f t="shared" si="12"/>
        <v>0.77490209389215026</v>
      </c>
      <c r="N50" s="42">
        <f t="shared" ref="N50:N61" si="17">K50-L50</f>
        <v>262617</v>
      </c>
      <c r="O50" s="83">
        <v>1134812</v>
      </c>
      <c r="P50" s="86">
        <v>841701</v>
      </c>
      <c r="Q50" s="41">
        <f t="shared" si="13"/>
        <v>0.74170964001085637</v>
      </c>
      <c r="R50" s="42">
        <f t="shared" ref="R50:R61" si="18">O50-P50</f>
        <v>293111</v>
      </c>
      <c r="S50" s="42">
        <v>1078918</v>
      </c>
      <c r="T50" s="42">
        <v>1981304.88</v>
      </c>
      <c r="U50" s="41">
        <f t="shared" si="14"/>
        <v>1.8363813375993354</v>
      </c>
      <c r="V50" s="42">
        <f t="shared" ref="V50:V61" si="19">S50-T50</f>
        <v>-902386.87999999989</v>
      </c>
      <c r="W50" s="42">
        <f>'FY 2009 Exp 01-15-10'!C3</f>
        <v>1209220</v>
      </c>
      <c r="X50" s="42">
        <f>SUM('FY 2009 Exp 01-15-10'!F3:N3)</f>
        <v>2196539.5300000003</v>
      </c>
      <c r="Y50" s="41">
        <f t="shared" ref="Y50:Y62" si="20">X50/W50</f>
        <v>1.8164928879773741</v>
      </c>
      <c r="Z50" s="42">
        <f>'FY 2009 Exp 01-15-10'!D3</f>
        <v>1275791</v>
      </c>
      <c r="AA50" s="41">
        <f t="shared" ref="AA50:AA62" si="21">X50/Z50</f>
        <v>1.7217079678411278</v>
      </c>
      <c r="AB50" s="42">
        <f t="shared" ref="AB50:AB61" si="22">W50-X50</f>
        <v>-987319.53000000026</v>
      </c>
      <c r="AC50" s="42">
        <f>'FY 2008 Exp 01-15-10'!C3</f>
        <v>1199159</v>
      </c>
      <c r="AD50" s="42">
        <f>SUM('FY 2008 Exp 01-15-10'!F3:N3)</f>
        <v>1493205.77</v>
      </c>
      <c r="AE50" s="41">
        <f t="shared" ref="AE50:AE62" si="23">AD50/AC50</f>
        <v>1.2452108269212006</v>
      </c>
      <c r="AF50" s="42">
        <f>'FY 2008 Exp 01-15-10'!D3</f>
        <v>1238216</v>
      </c>
      <c r="AG50" s="41">
        <f t="shared" ref="AG50:AG62" si="24">AD50/AF50</f>
        <v>1.2059331893627607</v>
      </c>
      <c r="AH50" s="13">
        <f t="shared" ref="AH50:AH61" si="25">AC50-AD50</f>
        <v>-294046.77</v>
      </c>
    </row>
    <row r="51" spans="1:34" ht="15.75" customHeight="1">
      <c r="A51" s="135" t="s">
        <v>131</v>
      </c>
      <c r="B51" s="136"/>
      <c r="C51" s="88">
        <f t="shared" ref="C51:D61" si="26">K51</f>
        <v>43927702</v>
      </c>
      <c r="D51" s="88">
        <f t="shared" si="26"/>
        <v>35916621</v>
      </c>
      <c r="E51" s="12">
        <f t="shared" si="10"/>
        <v>0.81763031901828143</v>
      </c>
      <c r="F51" s="22">
        <f t="shared" si="15"/>
        <v>-2970844.5</v>
      </c>
      <c r="G51" s="23">
        <f t="shared" si="16"/>
        <v>32945776.5</v>
      </c>
      <c r="H51" s="25">
        <f t="shared" si="11"/>
        <v>8011081</v>
      </c>
      <c r="I51" s="1">
        <v>0.75</v>
      </c>
      <c r="J51" s="35" t="s">
        <v>131</v>
      </c>
      <c r="K51" s="83">
        <v>43927702</v>
      </c>
      <c r="L51" s="86">
        <v>35916621</v>
      </c>
      <c r="M51" s="41">
        <f t="shared" si="12"/>
        <v>0.81763031901828143</v>
      </c>
      <c r="N51" s="42">
        <f t="shared" si="17"/>
        <v>8011081</v>
      </c>
      <c r="O51" s="83">
        <v>43487800</v>
      </c>
      <c r="P51" s="86">
        <v>37466177</v>
      </c>
      <c r="Q51" s="41">
        <f t="shared" si="13"/>
        <v>0.86153305064868768</v>
      </c>
      <c r="R51" s="42">
        <f t="shared" si="18"/>
        <v>6021623</v>
      </c>
      <c r="S51" s="42">
        <v>43665123</v>
      </c>
      <c r="T51" s="42">
        <v>35056726.109999999</v>
      </c>
      <c r="U51" s="41">
        <f t="shared" si="14"/>
        <v>0.80285417059285502</v>
      </c>
      <c r="V51" s="42">
        <f t="shared" si="19"/>
        <v>8608396.8900000006</v>
      </c>
      <c r="W51" s="42">
        <f>'FY 2009 Exp 01-15-10'!C4</f>
        <v>42789548</v>
      </c>
      <c r="X51" s="42">
        <f>SUM('FY 2009 Exp 01-15-10'!F4:N4)</f>
        <v>34012144.530000001</v>
      </c>
      <c r="Y51" s="41">
        <f t="shared" si="20"/>
        <v>0.79487038587086734</v>
      </c>
      <c r="Z51" s="42">
        <f>'FY 2009 Exp 01-15-10'!D4</f>
        <v>47916306</v>
      </c>
      <c r="AA51" s="41">
        <f t="shared" si="21"/>
        <v>0.70982401126664485</v>
      </c>
      <c r="AB51" s="42">
        <f t="shared" si="22"/>
        <v>8777403.4699999988</v>
      </c>
      <c r="AC51" s="42">
        <f>'FY 2008 Exp 01-15-10'!C4</f>
        <v>39688692</v>
      </c>
      <c r="AD51" s="42">
        <f>SUM('FY 2008 Exp 01-15-10'!F4:N4)</f>
        <v>31669868.079999998</v>
      </c>
      <c r="AE51" s="41">
        <f t="shared" si="23"/>
        <v>0.79795696164539764</v>
      </c>
      <c r="AF51" s="42">
        <f>'FY 2008 Exp 01-15-10'!D4</f>
        <v>50299627</v>
      </c>
      <c r="AG51" s="41">
        <f t="shared" si="24"/>
        <v>0.62962431272104658</v>
      </c>
      <c r="AH51" s="13">
        <f t="shared" si="25"/>
        <v>8018823.9200000018</v>
      </c>
    </row>
    <row r="52" spans="1:34" ht="15.75" customHeight="1">
      <c r="A52" s="135" t="s">
        <v>30</v>
      </c>
      <c r="B52" s="136"/>
      <c r="C52" s="88">
        <f t="shared" si="26"/>
        <v>3539581</v>
      </c>
      <c r="D52" s="88">
        <f t="shared" si="26"/>
        <v>2010909</v>
      </c>
      <c r="E52" s="12">
        <f t="shared" si="10"/>
        <v>0.56812063348740993</v>
      </c>
      <c r="F52" s="22">
        <f t="shared" si="15"/>
        <v>643776.75</v>
      </c>
      <c r="G52" s="23">
        <f t="shared" si="16"/>
        <v>2654685.75</v>
      </c>
      <c r="H52" s="25">
        <f t="shared" si="11"/>
        <v>1528672</v>
      </c>
      <c r="I52" s="1">
        <v>0.75</v>
      </c>
      <c r="J52" s="35" t="s">
        <v>30</v>
      </c>
      <c r="K52" s="83">
        <v>3539581</v>
      </c>
      <c r="L52" s="86">
        <v>2010909</v>
      </c>
      <c r="M52" s="41">
        <f t="shared" si="12"/>
        <v>0.56812063348740993</v>
      </c>
      <c r="N52" s="42">
        <f t="shared" si="17"/>
        <v>1528672</v>
      </c>
      <c r="O52" s="83">
        <v>2892101</v>
      </c>
      <c r="P52" s="86">
        <v>1971916</v>
      </c>
      <c r="Q52" s="41">
        <f t="shared" si="13"/>
        <v>0.68182819341371548</v>
      </c>
      <c r="R52" s="42">
        <f t="shared" si="18"/>
        <v>920185</v>
      </c>
      <c r="S52" s="42">
        <v>3263326</v>
      </c>
      <c r="T52" s="42">
        <v>2325326.02</v>
      </c>
      <c r="U52" s="41">
        <f t="shared" si="14"/>
        <v>0.71256320085703972</v>
      </c>
      <c r="V52" s="42">
        <f t="shared" si="19"/>
        <v>937999.98</v>
      </c>
      <c r="W52" s="42">
        <f>'FY 2009 Exp 01-15-10'!C5</f>
        <v>3360551</v>
      </c>
      <c r="X52" s="42">
        <f>SUM('FY 2009 Exp 01-15-10'!F5:N5)</f>
        <v>2762080.41</v>
      </c>
      <c r="Y52" s="41">
        <f t="shared" si="20"/>
        <v>0.82191295713113721</v>
      </c>
      <c r="Z52" s="42">
        <f>'FY 2009 Exp 01-15-10'!D5</f>
        <v>3318332</v>
      </c>
      <c r="AA52" s="41">
        <f t="shared" si="21"/>
        <v>0.83237012149477518</v>
      </c>
      <c r="AB52" s="42">
        <f t="shared" si="22"/>
        <v>598470.58999999985</v>
      </c>
      <c r="AC52" s="42">
        <f>'FY 2008 Exp 01-15-10'!C5</f>
        <v>2433415</v>
      </c>
      <c r="AD52" s="42">
        <f>SUM('FY 2008 Exp 01-15-10'!F5:N5)</f>
        <v>2078991.9600000002</v>
      </c>
      <c r="AE52" s="41">
        <f t="shared" si="23"/>
        <v>0.85435158409067102</v>
      </c>
      <c r="AF52" s="42">
        <f>'FY 2008 Exp 01-15-10'!D5</f>
        <v>3139760</v>
      </c>
      <c r="AG52" s="41">
        <f t="shared" si="24"/>
        <v>0.66214996050653563</v>
      </c>
      <c r="AH52" s="13">
        <f t="shared" si="25"/>
        <v>354423.0399999998</v>
      </c>
    </row>
    <row r="53" spans="1:34" ht="15.75" customHeight="1">
      <c r="A53" s="135" t="s">
        <v>15</v>
      </c>
      <c r="B53" s="136"/>
      <c r="C53" s="88">
        <f t="shared" si="26"/>
        <v>10245180</v>
      </c>
      <c r="D53" s="88">
        <f t="shared" si="26"/>
        <v>7358371</v>
      </c>
      <c r="E53" s="12">
        <f t="shared" si="10"/>
        <v>0.7182275958060278</v>
      </c>
      <c r="F53" s="22">
        <f t="shared" si="15"/>
        <v>325514</v>
      </c>
      <c r="G53" s="23">
        <f t="shared" si="16"/>
        <v>7683885</v>
      </c>
      <c r="H53" s="25">
        <f t="shared" si="11"/>
        <v>2886809</v>
      </c>
      <c r="I53" s="1">
        <v>0.75</v>
      </c>
      <c r="J53" s="35" t="s">
        <v>15</v>
      </c>
      <c r="K53" s="83">
        <v>10245180</v>
      </c>
      <c r="L53" s="86">
        <v>7358371</v>
      </c>
      <c r="M53" s="41">
        <f t="shared" si="12"/>
        <v>0.7182275958060278</v>
      </c>
      <c r="N53" s="42">
        <f t="shared" si="17"/>
        <v>2886809</v>
      </c>
      <c r="O53" s="83">
        <v>10586321</v>
      </c>
      <c r="P53" s="86">
        <v>7523615</v>
      </c>
      <c r="Q53" s="41">
        <f t="shared" si="13"/>
        <v>0.71069212807735571</v>
      </c>
      <c r="R53" s="42">
        <f t="shared" si="18"/>
        <v>3062706</v>
      </c>
      <c r="S53" s="42">
        <v>10604579</v>
      </c>
      <c r="T53" s="42">
        <v>7648186.1399999997</v>
      </c>
      <c r="U53" s="41">
        <f t="shared" si="14"/>
        <v>0.7212154428761387</v>
      </c>
      <c r="V53" s="42">
        <f t="shared" si="19"/>
        <v>2956392.8600000003</v>
      </c>
      <c r="W53" s="42">
        <f>'FY 2009 Exp 01-15-10'!C6</f>
        <v>10906229</v>
      </c>
      <c r="X53" s="42">
        <f>SUM('FY 2009 Exp 01-15-10'!F6:N6)</f>
        <v>7281216.5200000005</v>
      </c>
      <c r="Y53" s="41">
        <f t="shared" si="20"/>
        <v>0.66761999220812263</v>
      </c>
      <c r="Z53" s="42">
        <f>'FY 2009 Exp 01-15-10'!D6</f>
        <v>11732575</v>
      </c>
      <c r="AA53" s="41">
        <f t="shared" si="21"/>
        <v>0.62059833582994361</v>
      </c>
      <c r="AB53" s="42">
        <f t="shared" si="22"/>
        <v>3625012.4799999995</v>
      </c>
      <c r="AC53" s="42">
        <f>'FY 2008 Exp 01-15-10'!C6</f>
        <v>9925189</v>
      </c>
      <c r="AD53" s="42">
        <f>SUM('FY 2008 Exp 01-15-10'!F6:N6)</f>
        <v>6772283.8600000003</v>
      </c>
      <c r="AE53" s="41">
        <f t="shared" si="23"/>
        <v>0.68233298731137515</v>
      </c>
      <c r="AF53" s="42">
        <f>'FY 2008 Exp 01-15-10'!D6</f>
        <v>10236244</v>
      </c>
      <c r="AG53" s="41">
        <f t="shared" si="24"/>
        <v>0.66159851797202185</v>
      </c>
      <c r="AH53" s="13">
        <f t="shared" si="25"/>
        <v>3152905.1399999997</v>
      </c>
    </row>
    <row r="54" spans="1:34" ht="15.75" customHeight="1">
      <c r="A54" s="135" t="s">
        <v>14</v>
      </c>
      <c r="B54" s="136"/>
      <c r="C54" s="88">
        <f t="shared" si="26"/>
        <v>35621648</v>
      </c>
      <c r="D54" s="88">
        <f t="shared" si="26"/>
        <v>20790147</v>
      </c>
      <c r="E54" s="12">
        <f t="shared" si="10"/>
        <v>0.58363798889933449</v>
      </c>
      <c r="F54" s="22">
        <f t="shared" si="15"/>
        <v>5926089</v>
      </c>
      <c r="G54" s="23">
        <f t="shared" si="16"/>
        <v>26716236</v>
      </c>
      <c r="H54" s="25">
        <f t="shared" si="11"/>
        <v>14831501</v>
      </c>
      <c r="I54" s="1">
        <v>0.75</v>
      </c>
      <c r="J54" s="35" t="s">
        <v>205</v>
      </c>
      <c r="K54" s="83">
        <v>35621648</v>
      </c>
      <c r="L54" s="86">
        <v>20790147</v>
      </c>
      <c r="M54" s="41">
        <f t="shared" si="12"/>
        <v>0.58363798889933449</v>
      </c>
      <c r="N54" s="42">
        <f t="shared" si="17"/>
        <v>14831501</v>
      </c>
      <c r="O54" s="83">
        <v>41179358</v>
      </c>
      <c r="P54" s="86">
        <v>23831231</v>
      </c>
      <c r="Q54" s="41">
        <f t="shared" si="13"/>
        <v>0.57871788579122574</v>
      </c>
      <c r="R54" s="42">
        <f t="shared" si="18"/>
        <v>17348127</v>
      </c>
      <c r="S54" s="42">
        <v>40714461</v>
      </c>
      <c r="T54" s="42">
        <v>26634545.899999999</v>
      </c>
      <c r="U54" s="41">
        <f t="shared" si="14"/>
        <v>0.65417901271000489</v>
      </c>
      <c r="V54" s="42">
        <f t="shared" si="19"/>
        <v>14079915.100000001</v>
      </c>
      <c r="W54" s="42">
        <f>'FY 2009 Exp 01-15-10'!C7</f>
        <v>39128938</v>
      </c>
      <c r="X54" s="42">
        <f>SUM('FY 2009 Exp 01-15-10'!F7:N7)</f>
        <v>22492560.529999997</v>
      </c>
      <c r="Y54" s="41">
        <f t="shared" si="20"/>
        <v>0.57483186816877063</v>
      </c>
      <c r="Z54" s="42">
        <f>'FY 2009 Exp 01-15-10'!D7</f>
        <v>41658952</v>
      </c>
      <c r="AA54" s="41">
        <f t="shared" si="21"/>
        <v>0.53992142025080225</v>
      </c>
      <c r="AB54" s="42">
        <f t="shared" si="22"/>
        <v>16636377.470000003</v>
      </c>
      <c r="AC54" s="42">
        <f>'FY 2008 Exp 01-15-10'!C7</f>
        <v>37639150</v>
      </c>
      <c r="AD54" s="42">
        <f>SUM('FY 2008 Exp 01-15-10'!F7:N7)</f>
        <v>20852863.25</v>
      </c>
      <c r="AE54" s="41">
        <f t="shared" si="23"/>
        <v>0.5540205676801947</v>
      </c>
      <c r="AF54" s="42">
        <f>'FY 2008 Exp 01-15-10'!D7</f>
        <v>36096874</v>
      </c>
      <c r="AG54" s="41">
        <f t="shared" si="24"/>
        <v>0.57769166521178539</v>
      </c>
      <c r="AH54" s="13">
        <f t="shared" si="25"/>
        <v>16786286.75</v>
      </c>
    </row>
    <row r="55" spans="1:34" ht="15.75" customHeight="1">
      <c r="A55" s="135" t="s">
        <v>117</v>
      </c>
      <c r="B55" s="136"/>
      <c r="C55" s="88">
        <f t="shared" si="26"/>
        <v>17339921</v>
      </c>
      <c r="D55" s="88">
        <f t="shared" si="26"/>
        <v>12261976</v>
      </c>
      <c r="E55" s="12">
        <f t="shared" si="10"/>
        <v>0.70715293339571728</v>
      </c>
      <c r="F55" s="22">
        <f t="shared" si="15"/>
        <v>742964.75</v>
      </c>
      <c r="G55" s="23">
        <f t="shared" si="16"/>
        <v>13004940.75</v>
      </c>
      <c r="H55" s="25">
        <f t="shared" si="11"/>
        <v>5077945</v>
      </c>
      <c r="I55" s="1">
        <v>0.75</v>
      </c>
      <c r="J55" s="35" t="s">
        <v>117</v>
      </c>
      <c r="K55" s="83">
        <v>17339921</v>
      </c>
      <c r="L55" s="86">
        <v>12261976</v>
      </c>
      <c r="M55" s="41">
        <f t="shared" si="12"/>
        <v>0.70715293339571728</v>
      </c>
      <c r="N55" s="42">
        <f t="shared" si="17"/>
        <v>5077945</v>
      </c>
      <c r="O55" s="83">
        <v>19492602</v>
      </c>
      <c r="P55" s="86">
        <v>13671956</v>
      </c>
      <c r="Q55" s="41">
        <f t="shared" si="13"/>
        <v>0.70139204606958061</v>
      </c>
      <c r="R55" s="42">
        <f t="shared" si="18"/>
        <v>5820646</v>
      </c>
      <c r="S55" s="42">
        <v>17404071</v>
      </c>
      <c r="T55" s="42">
        <v>13766280.4</v>
      </c>
      <c r="U55" s="41">
        <f t="shared" si="14"/>
        <v>0.79098047807320482</v>
      </c>
      <c r="V55" s="42">
        <f t="shared" si="19"/>
        <v>3637790.5999999996</v>
      </c>
      <c r="W55" s="42">
        <f>'FY 2009 Exp 01-15-10'!C8</f>
        <v>17368061</v>
      </c>
      <c r="X55" s="42">
        <f>SUM('FY 2009 Exp 01-15-10'!F8:N8)</f>
        <v>12133592.5</v>
      </c>
      <c r="Y55" s="41">
        <f t="shared" si="20"/>
        <v>0.69861526280912989</v>
      </c>
      <c r="Z55" s="42">
        <f>'FY 2009 Exp 01-15-10'!D8</f>
        <v>17937753</v>
      </c>
      <c r="AA55" s="41">
        <f t="shared" si="21"/>
        <v>0.67642767184942287</v>
      </c>
      <c r="AB55" s="42">
        <f t="shared" si="22"/>
        <v>5234468.5</v>
      </c>
      <c r="AC55" s="42">
        <f>'FY 2008 Exp 01-15-10'!C8</f>
        <v>17183257</v>
      </c>
      <c r="AD55" s="42">
        <f>SUM('FY 2008 Exp 01-15-10'!F8:N8)</f>
        <v>12053063.74</v>
      </c>
      <c r="AE55" s="41">
        <f t="shared" si="23"/>
        <v>0.70144232493292746</v>
      </c>
      <c r="AF55" s="42">
        <f>'FY 2008 Exp 01-15-10'!D8</f>
        <v>15836617</v>
      </c>
      <c r="AG55" s="41">
        <f t="shared" si="24"/>
        <v>0.76108828924763416</v>
      </c>
      <c r="AH55" s="13">
        <f t="shared" si="25"/>
        <v>5130193.26</v>
      </c>
    </row>
    <row r="56" spans="1:34" ht="15.75" customHeight="1">
      <c r="A56" s="135" t="s">
        <v>31</v>
      </c>
      <c r="B56" s="136"/>
      <c r="C56" s="88">
        <f t="shared" si="26"/>
        <v>17000798</v>
      </c>
      <c r="D56" s="88">
        <f t="shared" si="26"/>
        <v>11713595</v>
      </c>
      <c r="E56" s="12">
        <f t="shared" si="10"/>
        <v>0.68900265740467004</v>
      </c>
      <c r="F56" s="22">
        <f t="shared" si="15"/>
        <v>1037003.5</v>
      </c>
      <c r="G56" s="23">
        <f t="shared" si="16"/>
        <v>12750598.5</v>
      </c>
      <c r="H56" s="25">
        <f t="shared" si="11"/>
        <v>5287203</v>
      </c>
      <c r="I56" s="1">
        <v>0.75</v>
      </c>
      <c r="J56" s="35" t="s">
        <v>31</v>
      </c>
      <c r="K56" s="83">
        <v>17000798</v>
      </c>
      <c r="L56" s="86">
        <v>11713595</v>
      </c>
      <c r="M56" s="41">
        <f t="shared" si="12"/>
        <v>0.68900265740467004</v>
      </c>
      <c r="N56" s="42">
        <f t="shared" si="17"/>
        <v>5287203</v>
      </c>
      <c r="O56" s="83">
        <v>17117766</v>
      </c>
      <c r="P56" s="86">
        <v>11957370</v>
      </c>
      <c r="Q56" s="41">
        <f t="shared" si="13"/>
        <v>0.69853566172127834</v>
      </c>
      <c r="R56" s="42">
        <f t="shared" si="18"/>
        <v>5160396</v>
      </c>
      <c r="S56" s="42">
        <v>17413314</v>
      </c>
      <c r="T56" s="42">
        <v>11991182.59</v>
      </c>
      <c r="U56" s="41">
        <f t="shared" si="14"/>
        <v>0.68862151052924214</v>
      </c>
      <c r="V56" s="42">
        <f t="shared" si="19"/>
        <v>5422131.4100000001</v>
      </c>
      <c r="W56" s="42">
        <f>'FY 2009 Exp 01-15-10'!C9</f>
        <v>17278014</v>
      </c>
      <c r="X56" s="42">
        <f>SUM('FY 2009 Exp 01-15-10'!F9:N9)</f>
        <v>11419344.209999999</v>
      </c>
      <c r="Y56" s="41">
        <f t="shared" si="20"/>
        <v>0.66091763845080798</v>
      </c>
      <c r="Z56" s="42">
        <f>'FY 2009 Exp 01-15-10'!D9</f>
        <v>17898937</v>
      </c>
      <c r="AA56" s="41">
        <f t="shared" si="21"/>
        <v>0.63799007784652229</v>
      </c>
      <c r="AB56" s="42">
        <f t="shared" si="22"/>
        <v>5858669.790000001</v>
      </c>
      <c r="AC56" s="42">
        <f>'FY 2008 Exp 01-15-10'!C9</f>
        <v>16892588</v>
      </c>
      <c r="AD56" s="42">
        <f>SUM('FY 2008 Exp 01-15-10'!F9:N9)</f>
        <v>11241321.18</v>
      </c>
      <c r="AE56" s="41">
        <f t="shared" si="23"/>
        <v>0.66545879056542434</v>
      </c>
      <c r="AF56" s="42">
        <f>'FY 2008 Exp 01-15-10'!D9</f>
        <v>17511804</v>
      </c>
      <c r="AG56" s="41">
        <f t="shared" si="24"/>
        <v>0.6419282205305632</v>
      </c>
      <c r="AH56" s="13">
        <f t="shared" si="25"/>
        <v>5651266.8200000003</v>
      </c>
    </row>
    <row r="57" spans="1:34" ht="15.75" customHeight="1">
      <c r="A57" s="135" t="s">
        <v>32</v>
      </c>
      <c r="B57" s="136"/>
      <c r="C57" s="88">
        <f t="shared" si="26"/>
        <v>10468040</v>
      </c>
      <c r="D57" s="88">
        <f t="shared" si="26"/>
        <v>7456774</v>
      </c>
      <c r="E57" s="12">
        <f t="shared" si="10"/>
        <v>0.71233717104634675</v>
      </c>
      <c r="F57" s="22">
        <f t="shared" si="15"/>
        <v>394256</v>
      </c>
      <c r="G57" s="23">
        <f t="shared" si="16"/>
        <v>7851030</v>
      </c>
      <c r="H57" s="25">
        <f t="shared" si="11"/>
        <v>3011266</v>
      </c>
      <c r="I57" s="1">
        <v>0.75</v>
      </c>
      <c r="J57" s="35" t="s">
        <v>32</v>
      </c>
      <c r="K57" s="83">
        <v>10468040</v>
      </c>
      <c r="L57" s="86">
        <v>7456774</v>
      </c>
      <c r="M57" s="41">
        <f t="shared" si="12"/>
        <v>0.71233717104634675</v>
      </c>
      <c r="N57" s="42">
        <f t="shared" si="17"/>
        <v>3011266</v>
      </c>
      <c r="O57" s="83">
        <v>10895570</v>
      </c>
      <c r="P57" s="86">
        <v>7892877</v>
      </c>
      <c r="Q57" s="41">
        <f t="shared" si="13"/>
        <v>0.72441157277682577</v>
      </c>
      <c r="R57" s="42">
        <f t="shared" si="18"/>
        <v>3002693</v>
      </c>
      <c r="S57" s="42">
        <v>10775827</v>
      </c>
      <c r="T57" s="42">
        <v>7962812.9000000004</v>
      </c>
      <c r="U57" s="41">
        <f t="shared" si="14"/>
        <v>0.73895144196357276</v>
      </c>
      <c r="V57" s="42">
        <f t="shared" si="19"/>
        <v>2813014.0999999996</v>
      </c>
      <c r="W57" s="42">
        <f>'FY 2009 Exp 01-15-10'!C10</f>
        <v>10462445</v>
      </c>
      <c r="X57" s="42">
        <f>SUM('FY 2009 Exp 01-15-10'!F10:N10)</f>
        <v>7385814.9500000002</v>
      </c>
      <c r="Y57" s="41">
        <f t="shared" si="20"/>
        <v>0.70593584482403493</v>
      </c>
      <c r="Z57" s="42">
        <f>'FY 2009 Exp 01-15-10'!D10</f>
        <v>10559987</v>
      </c>
      <c r="AA57" s="41">
        <f t="shared" si="21"/>
        <v>0.69941515553002098</v>
      </c>
      <c r="AB57" s="42">
        <f t="shared" si="22"/>
        <v>3076630.05</v>
      </c>
      <c r="AC57" s="42">
        <f>'FY 2008 Exp 01-15-10'!C10</f>
        <v>10123030</v>
      </c>
      <c r="AD57" s="42">
        <f>SUM('FY 2008 Exp 01-15-10'!F10:N10)</f>
        <v>7177177.6799999997</v>
      </c>
      <c r="AE57" s="41">
        <f t="shared" si="23"/>
        <v>0.70899500248443403</v>
      </c>
      <c r="AF57" s="42">
        <f>'FY 2008 Exp 01-15-10'!D10</f>
        <v>10223818</v>
      </c>
      <c r="AG57" s="41">
        <f t="shared" si="24"/>
        <v>0.70200561864461986</v>
      </c>
      <c r="AH57" s="13">
        <f t="shared" si="25"/>
        <v>2945852.3200000003</v>
      </c>
    </row>
    <row r="58" spans="1:34" ht="15.75" customHeight="1">
      <c r="A58" s="135" t="s">
        <v>33</v>
      </c>
      <c r="B58" s="136"/>
      <c r="C58" s="88">
        <f t="shared" si="26"/>
        <v>13924247</v>
      </c>
      <c r="D58" s="88">
        <f t="shared" si="26"/>
        <v>8703059</v>
      </c>
      <c r="E58" s="12">
        <f t="shared" si="10"/>
        <v>0.62502905902200667</v>
      </c>
      <c r="F58" s="22">
        <f t="shared" si="15"/>
        <v>1740126.25</v>
      </c>
      <c r="G58" s="23">
        <f t="shared" si="16"/>
        <v>10443185.25</v>
      </c>
      <c r="H58" s="25">
        <f t="shared" si="11"/>
        <v>5221188</v>
      </c>
      <c r="I58" s="1">
        <v>0.75</v>
      </c>
      <c r="J58" s="35" t="s">
        <v>33</v>
      </c>
      <c r="K58" s="83">
        <v>13924247</v>
      </c>
      <c r="L58" s="86">
        <v>8703059</v>
      </c>
      <c r="M58" s="41">
        <f t="shared" si="12"/>
        <v>0.62502905902200667</v>
      </c>
      <c r="N58" s="42">
        <f t="shared" si="17"/>
        <v>5221188</v>
      </c>
      <c r="O58" s="83">
        <v>11591817</v>
      </c>
      <c r="P58" s="86">
        <v>17038459</v>
      </c>
      <c r="Q58" s="41">
        <f t="shared" si="13"/>
        <v>1.4698695640208952</v>
      </c>
      <c r="R58" s="42">
        <f t="shared" si="18"/>
        <v>-5446642</v>
      </c>
      <c r="S58" s="42">
        <v>13414559</v>
      </c>
      <c r="T58" s="42">
        <v>12073599.41</v>
      </c>
      <c r="U58" s="41">
        <f t="shared" si="14"/>
        <v>0.9000369978618008</v>
      </c>
      <c r="V58" s="42">
        <f t="shared" si="19"/>
        <v>1340959.5899999999</v>
      </c>
      <c r="W58" s="42">
        <f>'FY 2009 Exp 01-15-10'!C11</f>
        <v>13483773</v>
      </c>
      <c r="X58" s="42">
        <f>SUM('FY 2009 Exp 01-15-10'!F11:N11)</f>
        <v>16032630.470000003</v>
      </c>
      <c r="Y58" s="41">
        <f t="shared" si="20"/>
        <v>1.1890314728674238</v>
      </c>
      <c r="Z58" s="42">
        <f>'FY 2009 Exp 01-15-10'!D11</f>
        <v>25988724</v>
      </c>
      <c r="AA58" s="41">
        <f t="shared" si="21"/>
        <v>0.61690718136065481</v>
      </c>
      <c r="AB58" s="42">
        <f t="shared" si="22"/>
        <v>-2548857.4700000025</v>
      </c>
      <c r="AC58" s="42">
        <f>'FY 2008 Exp 01-15-10'!C11</f>
        <v>13190056</v>
      </c>
      <c r="AD58" s="42">
        <f>SUM('FY 2008 Exp 01-15-10'!F11:N11)</f>
        <v>19296970.68</v>
      </c>
      <c r="AE58" s="41">
        <f t="shared" si="23"/>
        <v>1.4629938402081082</v>
      </c>
      <c r="AF58" s="42">
        <f>'FY 2008 Exp 01-15-10'!D11</f>
        <v>40957636</v>
      </c>
      <c r="AG58" s="41">
        <f t="shared" si="24"/>
        <v>0.47114464028148501</v>
      </c>
      <c r="AH58" s="13">
        <f t="shared" si="25"/>
        <v>-6106914.6799999997</v>
      </c>
    </row>
    <row r="59" spans="1:34" ht="15.75" customHeight="1">
      <c r="A59" s="135" t="s">
        <v>34</v>
      </c>
      <c r="B59" s="136"/>
      <c r="C59" s="88">
        <f t="shared" si="26"/>
        <v>63810544</v>
      </c>
      <c r="D59" s="88">
        <f t="shared" si="26"/>
        <v>46919857</v>
      </c>
      <c r="E59" s="12">
        <f t="shared" si="10"/>
        <v>0.73529943577976709</v>
      </c>
      <c r="F59" s="22">
        <f t="shared" si="15"/>
        <v>938051</v>
      </c>
      <c r="G59" s="23">
        <f t="shared" si="16"/>
        <v>47857908</v>
      </c>
      <c r="H59" s="25">
        <f t="shared" si="11"/>
        <v>16890687</v>
      </c>
      <c r="I59" s="1">
        <v>0.75</v>
      </c>
      <c r="J59" s="35" t="s">
        <v>34</v>
      </c>
      <c r="K59" s="83">
        <v>63810544</v>
      </c>
      <c r="L59" s="86">
        <v>46919857</v>
      </c>
      <c r="M59" s="41">
        <f t="shared" si="12"/>
        <v>0.73529943577976709</v>
      </c>
      <c r="N59" s="42">
        <f t="shared" si="17"/>
        <v>16890687</v>
      </c>
      <c r="O59" s="83">
        <v>65349602</v>
      </c>
      <c r="P59" s="86">
        <v>48082108</v>
      </c>
      <c r="Q59" s="41">
        <f t="shared" si="13"/>
        <v>0.73576741905788501</v>
      </c>
      <c r="R59" s="42">
        <f t="shared" si="18"/>
        <v>17267494</v>
      </c>
      <c r="S59" s="42">
        <v>65544767</v>
      </c>
      <c r="T59" s="42">
        <v>48274052.920000002</v>
      </c>
      <c r="U59" s="41">
        <f t="shared" si="14"/>
        <v>0.73650506561416262</v>
      </c>
      <c r="V59" s="42">
        <f t="shared" si="19"/>
        <v>17270714.079999998</v>
      </c>
      <c r="W59" s="42">
        <f>'FY 2009 Exp 01-15-10'!C12</f>
        <v>65608655</v>
      </c>
      <c r="X59" s="42">
        <f>SUM('FY 2009 Exp 01-15-10'!F12:N12)</f>
        <v>45457467.979999997</v>
      </c>
      <c r="Y59" s="41">
        <f t="shared" si="20"/>
        <v>0.69285779414316595</v>
      </c>
      <c r="Z59" s="42">
        <f>'FY 2009 Exp 01-15-10'!D12</f>
        <v>58058647</v>
      </c>
      <c r="AA59" s="41">
        <f t="shared" si="21"/>
        <v>0.78295775614612573</v>
      </c>
      <c r="AB59" s="42">
        <f t="shared" si="22"/>
        <v>20151187.020000003</v>
      </c>
      <c r="AC59" s="42">
        <f>'FY 2008 Exp 01-15-10'!C12</f>
        <v>64075535</v>
      </c>
      <c r="AD59" s="42">
        <f>SUM('FY 2008 Exp 01-15-10'!F12:N12)</f>
        <v>45769706.790000007</v>
      </c>
      <c r="AE59" s="41">
        <f t="shared" si="23"/>
        <v>0.71430861700959669</v>
      </c>
      <c r="AF59" s="42">
        <f>'FY 2008 Exp 01-15-10'!D12</f>
        <v>57996969</v>
      </c>
      <c r="AG59" s="41">
        <f t="shared" si="24"/>
        <v>0.78917411684048533</v>
      </c>
      <c r="AH59" s="13">
        <f t="shared" si="25"/>
        <v>18305828.209999993</v>
      </c>
    </row>
    <row r="60" spans="1:34" ht="15.75" customHeight="1">
      <c r="A60" s="135" t="s">
        <v>132</v>
      </c>
      <c r="B60" s="136"/>
      <c r="C60" s="88">
        <f t="shared" si="26"/>
        <v>19894693</v>
      </c>
      <c r="D60" s="88">
        <f t="shared" si="26"/>
        <v>15729719</v>
      </c>
      <c r="E60" s="12">
        <f t="shared" si="10"/>
        <v>0.79064899367886698</v>
      </c>
      <c r="F60" s="22">
        <f t="shared" si="15"/>
        <v>-808699.25</v>
      </c>
      <c r="G60" s="23">
        <f t="shared" si="16"/>
        <v>14921019.75</v>
      </c>
      <c r="H60" s="25">
        <f t="shared" si="11"/>
        <v>4164974</v>
      </c>
      <c r="I60" s="1">
        <v>0.75</v>
      </c>
      <c r="J60" s="35" t="s">
        <v>132</v>
      </c>
      <c r="K60" s="83">
        <v>19894693</v>
      </c>
      <c r="L60" s="86">
        <v>15729719</v>
      </c>
      <c r="M60" s="41">
        <f t="shared" si="12"/>
        <v>0.79064899367886698</v>
      </c>
      <c r="N60" s="42">
        <f t="shared" si="17"/>
        <v>4164974</v>
      </c>
      <c r="O60" s="83">
        <v>19688923</v>
      </c>
      <c r="P60" s="86">
        <v>17414205</v>
      </c>
      <c r="Q60" s="41">
        <f t="shared" si="13"/>
        <v>0.88446711889726015</v>
      </c>
      <c r="R60" s="42">
        <f t="shared" si="18"/>
        <v>2274718</v>
      </c>
      <c r="S60" s="42">
        <v>19347332</v>
      </c>
      <c r="T60" s="42">
        <v>45912993.799999997</v>
      </c>
      <c r="U60" s="41">
        <f t="shared" si="14"/>
        <v>2.3730917420551836</v>
      </c>
      <c r="V60" s="42">
        <f t="shared" si="19"/>
        <v>-26565661.799999997</v>
      </c>
      <c r="W60" s="42">
        <f>'FY 2009 Exp 01-15-10'!C13</f>
        <v>19861346</v>
      </c>
      <c r="X60" s="42">
        <f>SUM('FY 2009 Exp 01-15-10'!F13:N13)</f>
        <v>41555245.810000002</v>
      </c>
      <c r="Y60" s="41">
        <f t="shared" si="20"/>
        <v>2.0922673523738018</v>
      </c>
      <c r="Z60" s="42">
        <f>'FY 2009 Exp 01-15-10'!D13</f>
        <v>38533167</v>
      </c>
      <c r="AA60" s="41">
        <f t="shared" si="21"/>
        <v>1.078427989321511</v>
      </c>
      <c r="AB60" s="42">
        <f t="shared" si="22"/>
        <v>-21693899.810000002</v>
      </c>
      <c r="AC60" s="42">
        <f>'FY 2008 Exp 01-15-10'!C13</f>
        <v>17022879</v>
      </c>
      <c r="AD60" s="42">
        <f>SUM('FY 2008 Exp 01-15-10'!F13:N13)</f>
        <v>38181907.269999996</v>
      </c>
      <c r="AE60" s="41">
        <f t="shared" si="23"/>
        <v>2.2429758955579722</v>
      </c>
      <c r="AF60" s="42">
        <f>'FY 2008 Exp 01-15-10'!D13</f>
        <v>37697948</v>
      </c>
      <c r="AG60" s="41">
        <f t="shared" si="24"/>
        <v>1.0128378146736261</v>
      </c>
      <c r="AH60" s="13">
        <f t="shared" si="25"/>
        <v>-21159028.269999996</v>
      </c>
    </row>
    <row r="61" spans="1:34" ht="15.75" customHeight="1" thickBot="1">
      <c r="A61" s="135" t="s">
        <v>35</v>
      </c>
      <c r="B61" s="136"/>
      <c r="C61" s="88">
        <f t="shared" si="26"/>
        <v>27624277</v>
      </c>
      <c r="D61" s="88">
        <f t="shared" si="26"/>
        <v>25786183</v>
      </c>
      <c r="E61" s="12">
        <f t="shared" si="10"/>
        <v>0.93346091917627383</v>
      </c>
      <c r="F61" s="22">
        <f t="shared" si="15"/>
        <v>-5067975.25</v>
      </c>
      <c r="G61" s="23">
        <f t="shared" si="16"/>
        <v>20718207.75</v>
      </c>
      <c r="H61" s="25">
        <f t="shared" si="11"/>
        <v>1838094</v>
      </c>
      <c r="I61" s="1">
        <v>0.75</v>
      </c>
      <c r="J61" s="35" t="s">
        <v>35</v>
      </c>
      <c r="K61" s="84">
        <v>27624277</v>
      </c>
      <c r="L61" s="87">
        <v>25786183</v>
      </c>
      <c r="M61" s="38">
        <f t="shared" si="12"/>
        <v>0.93346091917627383</v>
      </c>
      <c r="N61" s="44">
        <f t="shared" si="17"/>
        <v>1838094</v>
      </c>
      <c r="O61" s="84">
        <v>28150079</v>
      </c>
      <c r="P61" s="87">
        <v>49529427</v>
      </c>
      <c r="Q61" s="38">
        <f t="shared" si="13"/>
        <v>1.7594773712713203</v>
      </c>
      <c r="R61" s="44">
        <f t="shared" si="18"/>
        <v>-21379348</v>
      </c>
      <c r="S61" s="44">
        <v>26609348</v>
      </c>
      <c r="T61" s="44">
        <v>26147759.859999999</v>
      </c>
      <c r="U61" s="38">
        <f t="shared" si="14"/>
        <v>0.98265315858171343</v>
      </c>
      <c r="V61" s="44">
        <f t="shared" si="19"/>
        <v>461588.1400000006</v>
      </c>
      <c r="W61" s="44">
        <f>'FY 2009 Exp 01-15-10'!C14</f>
        <v>27673796</v>
      </c>
      <c r="X61" s="44">
        <f>SUM('FY 2009 Exp 01-15-10'!F14:N14)</f>
        <v>24713842.280000001</v>
      </c>
      <c r="Y61" s="38">
        <f t="shared" si="20"/>
        <v>0.89304128280775075</v>
      </c>
      <c r="Z61" s="44">
        <f>'FY 2009 Exp 01-15-10'!D14</f>
        <v>70249042</v>
      </c>
      <c r="AA61" s="38">
        <f t="shared" si="21"/>
        <v>0.35180326416408642</v>
      </c>
      <c r="AB61" s="44">
        <f t="shared" si="22"/>
        <v>2959953.7199999988</v>
      </c>
      <c r="AC61" s="44">
        <f>'FY 2008 Exp 01-15-10'!C14</f>
        <v>25864446</v>
      </c>
      <c r="AD61" s="44">
        <f>SUM('FY 2008 Exp 01-15-10'!F14:N14)</f>
        <v>22258900.990000002</v>
      </c>
      <c r="AE61" s="38">
        <f t="shared" si="23"/>
        <v>0.86059840562600887</v>
      </c>
      <c r="AF61" s="44">
        <f>'FY 2008 Exp 01-15-10'!D14</f>
        <v>40216702</v>
      </c>
      <c r="AG61" s="38">
        <f t="shared" si="24"/>
        <v>0.55347405140282269</v>
      </c>
      <c r="AH61" s="45">
        <f t="shared" si="25"/>
        <v>3605545.0099999979</v>
      </c>
    </row>
    <row r="62" spans="1:34" ht="15.75" customHeight="1" thickBot="1">
      <c r="A62" s="139" t="s">
        <v>28</v>
      </c>
      <c r="B62" s="140"/>
      <c r="C62" s="95">
        <f>SUM(C49:C61)</f>
        <v>264867593</v>
      </c>
      <c r="D62" s="95">
        <f>SUM(D49:D61)</f>
        <v>195733433</v>
      </c>
      <c r="E62" s="12">
        <f t="shared" si="10"/>
        <v>0.73898596194061383</v>
      </c>
      <c r="F62" s="97">
        <f t="shared" si="15"/>
        <v>2917261.75</v>
      </c>
      <c r="G62" s="23">
        <f t="shared" si="16"/>
        <v>198650694.75</v>
      </c>
      <c r="J62" s="30"/>
      <c r="K62" s="43">
        <f>SUM(K49:K61)</f>
        <v>264867593</v>
      </c>
      <c r="L62" s="43">
        <f>SUM(L49:L61)</f>
        <v>195733433</v>
      </c>
      <c r="M62" s="39">
        <f t="shared" si="12"/>
        <v>0.73898596194061383</v>
      </c>
      <c r="N62" s="43">
        <f>SUM(N49:N61)</f>
        <v>69134160</v>
      </c>
      <c r="O62" s="43">
        <f>SUM(O49:O61)</f>
        <v>271926181</v>
      </c>
      <c r="P62" s="43">
        <f>SUM(P49:P61)</f>
        <v>237434366</v>
      </c>
      <c r="Q62" s="39">
        <f t="shared" si="13"/>
        <v>0.87315743238419552</v>
      </c>
      <c r="R62" s="43">
        <f>SUM(R49:R61)</f>
        <v>34491815</v>
      </c>
      <c r="S62" s="43">
        <f>SUM(S49:S61)</f>
        <v>270182156</v>
      </c>
      <c r="T62" s="43">
        <f>SUM(T49:T61)</f>
        <v>239976922.87000006</v>
      </c>
      <c r="U62" s="39">
        <f t="shared" si="14"/>
        <v>0.88820418943581181</v>
      </c>
      <c r="V62" s="43">
        <f>SUM(V49:V61)</f>
        <v>30205233.129999995</v>
      </c>
      <c r="W62" s="43">
        <f t="shared" ref="W62:AH62" si="27">SUM(W49:W61)</f>
        <v>269482206</v>
      </c>
      <c r="X62" s="43">
        <f t="shared" si="27"/>
        <v>227665162.53999999</v>
      </c>
      <c r="Y62" s="39">
        <f t="shared" si="20"/>
        <v>0.84482447252936621</v>
      </c>
      <c r="Z62" s="43">
        <f t="shared" si="27"/>
        <v>345653526</v>
      </c>
      <c r="AA62" s="39">
        <f t="shared" si="21"/>
        <v>0.65865135291575183</v>
      </c>
      <c r="AB62" s="43">
        <f t="shared" si="27"/>
        <v>41817043.459999986</v>
      </c>
      <c r="AC62" s="43">
        <f t="shared" si="27"/>
        <v>255607673</v>
      </c>
      <c r="AD62" s="43">
        <f t="shared" si="27"/>
        <v>219099457.54000002</v>
      </c>
      <c r="AE62" s="39">
        <f t="shared" si="23"/>
        <v>0.85717089384871492</v>
      </c>
      <c r="AF62" s="43">
        <f t="shared" si="27"/>
        <v>322179771</v>
      </c>
      <c r="AG62" s="39">
        <f t="shared" si="24"/>
        <v>0.68005342750088438</v>
      </c>
      <c r="AH62" s="43">
        <f t="shared" si="27"/>
        <v>36508215.460000001</v>
      </c>
    </row>
    <row r="63" spans="1:34" ht="13.5" thickTop="1">
      <c r="J63" s="79"/>
    </row>
    <row r="64" spans="1:34">
      <c r="J64" s="79"/>
    </row>
    <row r="65" spans="10:10">
      <c r="J65" s="79"/>
    </row>
    <row r="66" spans="10:10">
      <c r="J66" s="79"/>
    </row>
    <row r="67" spans="10:10">
      <c r="J67" s="79"/>
    </row>
    <row r="68" spans="10:10">
      <c r="J68" s="79"/>
    </row>
    <row r="69" spans="10:10">
      <c r="J69" s="79"/>
    </row>
    <row r="70" spans="10:10">
      <c r="J70" s="79"/>
    </row>
    <row r="71" spans="10:10">
      <c r="J71" s="79"/>
    </row>
    <row r="72" spans="10:10">
      <c r="J72" s="79"/>
    </row>
    <row r="73" spans="10:10">
      <c r="J73" s="79"/>
    </row>
    <row r="74" spans="10:10">
      <c r="J74" s="79"/>
    </row>
    <row r="75" spans="10:10">
      <c r="J75" s="79"/>
    </row>
    <row r="76" spans="10:10">
      <c r="J76" s="80"/>
    </row>
    <row r="77" spans="10:10">
      <c r="J77" s="81"/>
    </row>
  </sheetData>
  <mergeCells count="28">
    <mergeCell ref="B3:D3"/>
    <mergeCell ref="A13:F13"/>
    <mergeCell ref="A14:F1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46:F46"/>
    <mergeCell ref="A48:B48"/>
    <mergeCell ref="A49:B49"/>
    <mergeCell ref="A50:B50"/>
    <mergeCell ref="A51:B51"/>
    <mergeCell ref="A52:B52"/>
    <mergeCell ref="A59:B59"/>
    <mergeCell ref="A60:B60"/>
    <mergeCell ref="A61:B61"/>
    <mergeCell ref="A62:B62"/>
    <mergeCell ref="A53:B53"/>
    <mergeCell ref="A54:B54"/>
    <mergeCell ref="A55:B55"/>
    <mergeCell ref="A56:B56"/>
    <mergeCell ref="A57:B57"/>
    <mergeCell ref="A58:B58"/>
  </mergeCells>
  <printOptions horizontalCentered="1"/>
  <pageMargins left="0.5" right="0.5" top="0.5" bottom="0.5" header="0.5" footer="0.5"/>
  <pageSetup orientation="portrait" r:id="rId1"/>
  <headerFooter alignWithMargins="0"/>
  <rowBreaks count="1" manualBreakCount="1">
    <brk id="8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7"/>
  <sheetViews>
    <sheetView zoomScaleNormal="100" workbookViewId="0">
      <selection activeCell="B10" sqref="B10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7.625" style="2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4" style="2" bestFit="1" customWidth="1"/>
    <col min="12" max="12" width="13.125" style="2" bestFit="1" customWidth="1"/>
    <col min="13" max="13" width="10.25" style="2" customWidth="1"/>
    <col min="14" max="14" width="11.5" style="2" customWidth="1"/>
    <col min="15" max="15" width="11.875" style="2" customWidth="1"/>
    <col min="16" max="16" width="13.25" style="2" bestFit="1" customWidth="1"/>
    <col min="17" max="17" width="12.125" style="2" customWidth="1"/>
    <col min="18" max="18" width="12.5" style="2" bestFit="1" customWidth="1"/>
    <col min="19" max="19" width="13" style="2" customWidth="1"/>
    <col min="20" max="20" width="12.5" style="2" bestFit="1" customWidth="1"/>
    <col min="21" max="21" width="11.125" style="2" bestFit="1" customWidth="1"/>
    <col min="22" max="22" width="11.25" style="2" customWidth="1"/>
    <col min="23" max="23" width="12.625" style="2" customWidth="1"/>
    <col min="24" max="24" width="11.125" style="2" bestFit="1" customWidth="1"/>
    <col min="25" max="25" width="10.75" style="2" customWidth="1"/>
    <col min="26" max="26" width="12.5" style="2" bestFit="1" customWidth="1"/>
    <col min="27" max="27" width="10.875" style="2" customWidth="1"/>
    <col min="28" max="28" width="11.375" style="2" customWidth="1"/>
    <col min="29" max="29" width="11.75" style="2" customWidth="1"/>
    <col min="30" max="30" width="13" style="2" customWidth="1"/>
    <col min="31" max="31" width="9" style="2"/>
    <col min="32" max="32" width="11.125" style="2" customWidth="1"/>
    <col min="33" max="33" width="9" style="2"/>
    <col min="34" max="34" width="12.875" style="2" customWidth="1"/>
    <col min="35" max="16384" width="9" style="2"/>
  </cols>
  <sheetData>
    <row r="1" spans="1:29" ht="15.95" customHeight="1">
      <c r="E1" s="3"/>
      <c r="F1" s="3" t="s">
        <v>23</v>
      </c>
    </row>
    <row r="2" spans="1:29" ht="15.95" customHeight="1">
      <c r="E2" s="3"/>
      <c r="F2" s="3" t="s">
        <v>52</v>
      </c>
    </row>
    <row r="3" spans="1:29" ht="15.95" customHeight="1">
      <c r="B3" s="127" t="s">
        <v>41</v>
      </c>
      <c r="C3" s="127"/>
      <c r="D3" s="127"/>
      <c r="E3" s="3"/>
      <c r="F3" s="3" t="s">
        <v>53</v>
      </c>
    </row>
    <row r="4" spans="1:29" ht="15.95" customHeight="1">
      <c r="E4" s="3"/>
      <c r="F4" s="3" t="s">
        <v>54</v>
      </c>
    </row>
    <row r="5" spans="1:29" ht="15.95" customHeight="1">
      <c r="E5" s="3"/>
      <c r="F5" s="3" t="s">
        <v>24</v>
      </c>
    </row>
    <row r="6" spans="1:29" ht="15.75">
      <c r="A6" s="4"/>
      <c r="B6" s="4"/>
      <c r="C6" s="4"/>
      <c r="D6" s="5"/>
      <c r="E6" s="5"/>
      <c r="F6" s="4"/>
    </row>
    <row r="7" spans="1:29" ht="15.75">
      <c r="D7" s="3"/>
      <c r="E7" s="3"/>
    </row>
    <row r="8" spans="1:29" ht="19.5" customHeight="1">
      <c r="A8" s="6" t="s">
        <v>36</v>
      </c>
      <c r="B8" s="7" t="s">
        <v>37</v>
      </c>
    </row>
    <row r="9" spans="1:29" ht="19.5" customHeight="1">
      <c r="A9" s="6" t="s">
        <v>38</v>
      </c>
      <c r="B9" s="7" t="s">
        <v>93</v>
      </c>
    </row>
    <row r="10" spans="1:29" ht="19.5" customHeight="1">
      <c r="A10" s="6" t="s">
        <v>39</v>
      </c>
      <c r="B10" s="8">
        <v>41014</v>
      </c>
    </row>
    <row r="11" spans="1:29" ht="19.5" customHeight="1">
      <c r="A11" s="6" t="s">
        <v>40</v>
      </c>
      <c r="B11" s="7" t="s">
        <v>206</v>
      </c>
    </row>
    <row r="12" spans="1:29" ht="19.5" customHeight="1">
      <c r="A12" s="6"/>
      <c r="B12" s="7"/>
    </row>
    <row r="13" spans="1:29" ht="50.1" customHeight="1">
      <c r="A13" s="132"/>
      <c r="B13" s="132"/>
      <c r="C13" s="132"/>
      <c r="D13" s="132"/>
      <c r="E13" s="132"/>
      <c r="F13" s="132"/>
    </row>
    <row r="14" spans="1:29" ht="31.5" customHeight="1">
      <c r="A14" s="133" t="s">
        <v>172</v>
      </c>
      <c r="B14" s="133"/>
      <c r="C14" s="133"/>
      <c r="D14" s="133"/>
      <c r="E14" s="133"/>
      <c r="F14" s="133"/>
    </row>
    <row r="15" spans="1:29">
      <c r="K15" s="34"/>
      <c r="L15" s="34"/>
      <c r="M15" s="34"/>
      <c r="N15" s="34"/>
    </row>
    <row r="16" spans="1:29" ht="38.25">
      <c r="A16" s="134"/>
      <c r="B16" s="134"/>
      <c r="C16" s="9" t="s">
        <v>196</v>
      </c>
      <c r="D16" s="9" t="s">
        <v>207</v>
      </c>
      <c r="E16" s="9" t="s">
        <v>25</v>
      </c>
      <c r="F16" s="9" t="s">
        <v>134</v>
      </c>
      <c r="G16" s="10">
        <v>0.5</v>
      </c>
      <c r="H16" s="2" t="s">
        <v>42</v>
      </c>
      <c r="I16" s="10">
        <v>0.5</v>
      </c>
      <c r="K16" s="9" t="s">
        <v>196</v>
      </c>
      <c r="L16" s="9" t="s">
        <v>209</v>
      </c>
      <c r="M16" s="9">
        <v>2012</v>
      </c>
      <c r="N16" s="9" t="s">
        <v>151</v>
      </c>
      <c r="O16" s="9" t="s">
        <v>210</v>
      </c>
      <c r="P16" s="9" t="s">
        <v>192</v>
      </c>
      <c r="Q16" s="9">
        <v>2011</v>
      </c>
      <c r="R16" s="9" t="s">
        <v>94</v>
      </c>
      <c r="S16" s="9" t="s">
        <v>211</v>
      </c>
      <c r="T16" s="9" t="s">
        <v>193</v>
      </c>
      <c r="U16" s="9">
        <v>2010</v>
      </c>
      <c r="V16" s="9" t="s">
        <v>1</v>
      </c>
      <c r="W16" s="9" t="s">
        <v>135</v>
      </c>
      <c r="X16" s="9" t="s">
        <v>106</v>
      </c>
      <c r="Y16" s="9">
        <v>2009</v>
      </c>
      <c r="Z16" s="9" t="s">
        <v>104</v>
      </c>
      <c r="AA16" s="9" t="s">
        <v>136</v>
      </c>
      <c r="AB16" s="9" t="s">
        <v>107</v>
      </c>
      <c r="AC16" s="9">
        <v>2008</v>
      </c>
    </row>
    <row r="17" spans="1:29" ht="15.75" customHeight="1">
      <c r="A17" s="131" t="s">
        <v>26</v>
      </c>
      <c r="B17" s="131"/>
      <c r="C17" s="89">
        <f t="shared" ref="C17:D23" si="0">K17</f>
        <v>172920521</v>
      </c>
      <c r="D17" s="89">
        <f t="shared" si="0"/>
        <v>170913096.28</v>
      </c>
      <c r="E17" s="12">
        <f t="shared" ref="E17:E24" si="1">(D17/C17)</f>
        <v>0.98839105556477014</v>
      </c>
      <c r="F17" s="96">
        <f t="shared" ref="F17:F23" si="2">D17-G17</f>
        <v>84452835.780000001</v>
      </c>
      <c r="G17" s="14">
        <f>C17*0.5</f>
        <v>86460260.5</v>
      </c>
      <c r="H17" s="15">
        <f t="shared" ref="H17:H22" si="3">C17-D17</f>
        <v>2007424.7199999988</v>
      </c>
      <c r="I17" s="10">
        <v>0.5</v>
      </c>
      <c r="J17" s="21" t="str">
        <f>A17</f>
        <v>Current / Delinquent Taxes</v>
      </c>
      <c r="K17" s="82">
        <v>172920521</v>
      </c>
      <c r="L17" s="82">
        <v>170913096.28</v>
      </c>
      <c r="M17" s="41">
        <f>L17/K17</f>
        <v>0.98839105556477014</v>
      </c>
      <c r="N17" s="82">
        <v>170741229</v>
      </c>
      <c r="O17" s="82">
        <v>166859696</v>
      </c>
      <c r="P17" s="82">
        <v>171396885</v>
      </c>
      <c r="Q17" s="41">
        <f>(O17/P17)</f>
        <v>0.97352817118000712</v>
      </c>
      <c r="R17" s="11">
        <v>175930506</v>
      </c>
      <c r="S17" s="11">
        <v>170151643.09999999</v>
      </c>
      <c r="T17" s="11">
        <v>175482441</v>
      </c>
      <c r="U17" s="12">
        <f>(S17/T17)</f>
        <v>0.96962204383742301</v>
      </c>
      <c r="V17" s="11">
        <f>'FY 2009 Rev 01-15-10'!E3</f>
        <v>173590951</v>
      </c>
      <c r="W17" s="11">
        <f>SUM('FY 2009 Rev 01-15-10'!F3:K3)</f>
        <v>168785597.69</v>
      </c>
      <c r="X17" s="11">
        <v>174855279</v>
      </c>
      <c r="Y17" s="12">
        <f t="shared" ref="Y17:Y24" si="4">W17/X17</f>
        <v>0.96528740027345694</v>
      </c>
      <c r="Z17" s="11">
        <v>171068428</v>
      </c>
      <c r="AA17" s="11">
        <f>SUM('FY 2008 Rev 01-15-10'!F3:K3)</f>
        <v>163946955.67999998</v>
      </c>
      <c r="AB17" s="11">
        <v>171033213</v>
      </c>
      <c r="AC17" s="12">
        <f t="shared" ref="AC17:AC24" si="5">AA17/AB17</f>
        <v>0.95856794598134565</v>
      </c>
    </row>
    <row r="18" spans="1:29" ht="15.75" customHeight="1">
      <c r="A18" s="131" t="s">
        <v>95</v>
      </c>
      <c r="B18" s="131"/>
      <c r="C18" s="16">
        <f t="shared" si="0"/>
        <v>280300</v>
      </c>
      <c r="D18" s="16">
        <f t="shared" si="0"/>
        <v>159499.79999999999</v>
      </c>
      <c r="E18" s="12">
        <f>(D18/C18)</f>
        <v>0.56903246521584017</v>
      </c>
      <c r="F18" s="22">
        <f>D18-G18</f>
        <v>19349.799999999988</v>
      </c>
      <c r="G18" s="14">
        <f t="shared" ref="G18:G24" si="6">C18*0.5</f>
        <v>140150</v>
      </c>
      <c r="H18" s="15">
        <f t="shared" si="3"/>
        <v>120800.20000000001</v>
      </c>
      <c r="I18" s="10">
        <v>0.5</v>
      </c>
      <c r="J18" s="21" t="str">
        <f t="shared" ref="J18:J23" si="7">A18</f>
        <v>License / Permits</v>
      </c>
      <c r="K18" s="83">
        <v>280300</v>
      </c>
      <c r="L18" s="83">
        <f>3500+155999.8</f>
        <v>159499.79999999999</v>
      </c>
      <c r="M18" s="41">
        <f t="shared" ref="M18:M23" si="8">L18/K18</f>
        <v>0.56903246521584017</v>
      </c>
      <c r="N18" s="83">
        <v>246000</v>
      </c>
      <c r="O18" s="83">
        <f>3500+185369</f>
        <v>188869</v>
      </c>
      <c r="P18" s="83">
        <v>315483</v>
      </c>
      <c r="Q18" s="41">
        <f t="shared" ref="Q18:Q24" si="9">(O18/P18)</f>
        <v>0.59866617218677398</v>
      </c>
      <c r="R18" s="16">
        <v>335854</v>
      </c>
      <c r="S18" s="28">
        <v>139009</v>
      </c>
      <c r="T18" s="28">
        <v>255670</v>
      </c>
      <c r="U18" s="12">
        <f t="shared" ref="U18:U24" si="10">(S18/T18)</f>
        <v>0.5437047756874096</v>
      </c>
      <c r="V18" s="28">
        <f>'FY 2009 Rev 01-15-10'!E6</f>
        <v>650650</v>
      </c>
      <c r="W18" s="28">
        <f>SUM('FY 2009 Rev 01-15-10'!F6:K6)</f>
        <v>164714.09999999998</v>
      </c>
      <c r="X18" s="28">
        <f>'FY 2009 Rev 01-15-10'!D6</f>
        <v>283457.14</v>
      </c>
      <c r="Y18" s="12">
        <f t="shared" si="4"/>
        <v>0.58108996654661782</v>
      </c>
      <c r="Z18" s="28">
        <v>826700</v>
      </c>
      <c r="AA18" s="28">
        <f>SUM('FY 2008 Rev 01-15-10'!F6:K6)</f>
        <v>308515.22000000003</v>
      </c>
      <c r="AB18" s="28">
        <v>653857</v>
      </c>
      <c r="AC18" s="12">
        <f t="shared" si="5"/>
        <v>0.47183898008280101</v>
      </c>
    </row>
    <row r="19" spans="1:29" ht="15.75" customHeight="1">
      <c r="A19" s="131" t="s">
        <v>51</v>
      </c>
      <c r="B19" s="131"/>
      <c r="C19" s="16">
        <f t="shared" si="0"/>
        <v>9897851</v>
      </c>
      <c r="D19" s="16">
        <f t="shared" si="0"/>
        <v>9059766.3100000005</v>
      </c>
      <c r="E19" s="12">
        <f t="shared" si="1"/>
        <v>0.91532660069342331</v>
      </c>
      <c r="F19" s="22">
        <f t="shared" si="2"/>
        <v>4110840.8100000005</v>
      </c>
      <c r="G19" s="14">
        <f t="shared" si="6"/>
        <v>4948925.5</v>
      </c>
      <c r="H19" s="27">
        <f t="shared" si="3"/>
        <v>838084.68999999948</v>
      </c>
      <c r="I19" s="10">
        <v>0.5</v>
      </c>
      <c r="J19" s="21" t="str">
        <f t="shared" si="7"/>
        <v>Intergovernmental Revenue</v>
      </c>
      <c r="K19" s="83">
        <v>9897851</v>
      </c>
      <c r="L19" s="83">
        <f>907329.33-29871.35+747124.88+6486305.46+948877.99</f>
        <v>9059766.3100000005</v>
      </c>
      <c r="M19" s="41">
        <f t="shared" si="8"/>
        <v>0.91532660069342331</v>
      </c>
      <c r="N19" s="83">
        <v>10310296</v>
      </c>
      <c r="O19" s="83">
        <f>1015320+63735+4307615+3408872</f>
        <v>8795542</v>
      </c>
      <c r="P19" s="83">
        <v>20939933</v>
      </c>
      <c r="Q19" s="41">
        <f t="shared" si="9"/>
        <v>0.4200367785321949</v>
      </c>
      <c r="R19" s="16">
        <v>10763558</v>
      </c>
      <c r="S19" s="28">
        <v>5884221.2199999997</v>
      </c>
      <c r="T19" s="28">
        <v>17592701</v>
      </c>
      <c r="U19" s="12">
        <f t="shared" si="10"/>
        <v>0.33446946094292174</v>
      </c>
      <c r="V19" s="28">
        <f>'FY 2009 Rev 01-15-10'!E13</f>
        <v>9723482</v>
      </c>
      <c r="W19" s="28">
        <f>SUM('FY 2009 Rev 01-15-10'!F13:K13)</f>
        <v>8485324.1699999999</v>
      </c>
      <c r="X19" s="28">
        <v>18219983</v>
      </c>
      <c r="Y19" s="12">
        <f t="shared" si="4"/>
        <v>0.46571526274201241</v>
      </c>
      <c r="Z19" s="28">
        <v>14349223</v>
      </c>
      <c r="AA19" s="28">
        <f>SUM('FY 2008 Rev 01-15-10'!F12:K12)</f>
        <v>6040941.3100000005</v>
      </c>
      <c r="AB19" s="28">
        <v>14374024</v>
      </c>
      <c r="AC19" s="12">
        <f t="shared" si="5"/>
        <v>0.42026792984344541</v>
      </c>
    </row>
    <row r="20" spans="1:29" ht="15.75" customHeight="1">
      <c r="A20" s="131" t="s">
        <v>2</v>
      </c>
      <c r="B20" s="131"/>
      <c r="C20" s="16">
        <f t="shared" si="0"/>
        <v>39758436</v>
      </c>
      <c r="D20" s="16">
        <f t="shared" si="0"/>
        <v>18737616.699999999</v>
      </c>
      <c r="E20" s="12">
        <f t="shared" si="1"/>
        <v>0.47128656418979858</v>
      </c>
      <c r="F20" s="22">
        <f t="shared" si="2"/>
        <v>-1141601.3000000007</v>
      </c>
      <c r="G20" s="14">
        <f t="shared" si="6"/>
        <v>19879218</v>
      </c>
      <c r="H20" s="27">
        <f t="shared" si="3"/>
        <v>21020819.300000001</v>
      </c>
      <c r="I20" s="10">
        <v>0.5</v>
      </c>
      <c r="J20" s="21" t="str">
        <f t="shared" si="7"/>
        <v>Fees/Charges for Services</v>
      </c>
      <c r="K20" s="83">
        <v>39758436</v>
      </c>
      <c r="L20" s="83">
        <f>4289105.19+3026040.16+4038891.23+15720+1900065.06+5467795.06</f>
        <v>18737616.699999999</v>
      </c>
      <c r="M20" s="41">
        <f t="shared" si="8"/>
        <v>0.47128656418979858</v>
      </c>
      <c r="N20" s="83">
        <v>38925096</v>
      </c>
      <c r="O20" s="83">
        <f>4021485+3139173+3863523+17588+2441503+5526656</f>
        <v>19009928</v>
      </c>
      <c r="P20" s="83">
        <v>38970040</v>
      </c>
      <c r="Q20" s="41">
        <f t="shared" si="9"/>
        <v>0.48780878849495662</v>
      </c>
      <c r="R20" s="16">
        <v>40351226</v>
      </c>
      <c r="S20" s="28">
        <v>17625387.649999999</v>
      </c>
      <c r="T20" s="28">
        <v>37730335</v>
      </c>
      <c r="U20" s="12">
        <f t="shared" si="10"/>
        <v>0.46714103254052736</v>
      </c>
      <c r="V20" s="28">
        <f>'FY 2009 Rev 01-15-10'!E21</f>
        <v>38656872</v>
      </c>
      <c r="W20" s="28">
        <f>SUM('FY 2009 Rev 01-15-10'!F21:K21)</f>
        <v>18859251.09</v>
      </c>
      <c r="X20" s="28">
        <v>38824924</v>
      </c>
      <c r="Y20" s="12">
        <f t="shared" si="4"/>
        <v>0.4857511399120833</v>
      </c>
      <c r="Z20" s="28">
        <v>34135331</v>
      </c>
      <c r="AA20" s="28">
        <f>SUM('FY 2008 Rev 01-15-10'!F20:K20)</f>
        <v>19647906.950000003</v>
      </c>
      <c r="AB20" s="28">
        <v>39510792</v>
      </c>
      <c r="AC20" s="12">
        <f t="shared" si="5"/>
        <v>0.49727950150935984</v>
      </c>
    </row>
    <row r="21" spans="1:29" ht="15.75" customHeight="1">
      <c r="A21" s="131" t="s">
        <v>4</v>
      </c>
      <c r="B21" s="131"/>
      <c r="C21" s="16">
        <f t="shared" si="0"/>
        <v>3622500</v>
      </c>
      <c r="D21" s="16">
        <f t="shared" si="0"/>
        <v>1903558.8</v>
      </c>
      <c r="E21" s="12">
        <f t="shared" si="1"/>
        <v>0.5254820703933748</v>
      </c>
      <c r="F21" s="22">
        <f t="shared" si="2"/>
        <v>92308.800000000047</v>
      </c>
      <c r="G21" s="14">
        <f t="shared" si="6"/>
        <v>1811250</v>
      </c>
      <c r="H21" s="27">
        <f t="shared" si="3"/>
        <v>1718941.2</v>
      </c>
      <c r="I21" s="10">
        <v>0.5</v>
      </c>
      <c r="J21" s="21" t="str">
        <f t="shared" si="7"/>
        <v>Fines</v>
      </c>
      <c r="K21" s="83">
        <v>3622500</v>
      </c>
      <c r="L21" s="83">
        <v>1903558.8</v>
      </c>
      <c r="M21" s="41">
        <f t="shared" si="8"/>
        <v>0.5254820703933748</v>
      </c>
      <c r="N21" s="83">
        <v>3814000</v>
      </c>
      <c r="O21" s="83">
        <v>1771396</v>
      </c>
      <c r="P21" s="83">
        <v>3811745</v>
      </c>
      <c r="Q21" s="41">
        <f t="shared" si="9"/>
        <v>0.46472048890993495</v>
      </c>
      <c r="R21" s="16">
        <v>4596375</v>
      </c>
      <c r="S21" s="28">
        <v>1700946.93</v>
      </c>
      <c r="T21" s="28">
        <v>3846674</v>
      </c>
      <c r="U21" s="12">
        <f t="shared" si="10"/>
        <v>0.44218640051119484</v>
      </c>
      <c r="V21" s="28">
        <f>'FY 2009 Rev 01-15-10'!E23</f>
        <v>4675500</v>
      </c>
      <c r="W21" s="28">
        <f>SUM('FY 2009 Rev 01-15-10'!F23:K23)</f>
        <v>2137069.25</v>
      </c>
      <c r="X21" s="28">
        <v>4484058</v>
      </c>
      <c r="Y21" s="12">
        <f t="shared" si="4"/>
        <v>0.47659268680289146</v>
      </c>
      <c r="Z21" s="28">
        <v>5009825</v>
      </c>
      <c r="AA21" s="28">
        <f>SUM('FY 2008 Rev 01-15-10'!F22:K22)</f>
        <v>1618276.0899999999</v>
      </c>
      <c r="AB21" s="28">
        <v>5028906</v>
      </c>
      <c r="AC21" s="12">
        <f t="shared" si="5"/>
        <v>0.32179485756941967</v>
      </c>
    </row>
    <row r="22" spans="1:29" ht="15.75" customHeight="1">
      <c r="A22" s="131" t="s">
        <v>3</v>
      </c>
      <c r="B22" s="131"/>
      <c r="C22" s="16">
        <f t="shared" si="0"/>
        <v>3963042</v>
      </c>
      <c r="D22" s="16">
        <f t="shared" si="0"/>
        <v>1833997.13</v>
      </c>
      <c r="E22" s="12">
        <f t="shared" si="1"/>
        <v>0.46277509297151026</v>
      </c>
      <c r="F22" s="22">
        <f t="shared" si="2"/>
        <v>-147523.87000000011</v>
      </c>
      <c r="G22" s="14">
        <f t="shared" si="6"/>
        <v>1981521</v>
      </c>
      <c r="H22" s="27">
        <f t="shared" si="3"/>
        <v>2129044.87</v>
      </c>
      <c r="I22" s="10">
        <v>0.5</v>
      </c>
      <c r="J22" s="21" t="str">
        <f t="shared" si="7"/>
        <v>Investment Revenue</v>
      </c>
      <c r="K22" s="83">
        <v>3963042</v>
      </c>
      <c r="L22" s="83">
        <f>619654.43+1214342.7</f>
        <v>1833997.13</v>
      </c>
      <c r="M22" s="41">
        <f t="shared" si="8"/>
        <v>0.46277509297151026</v>
      </c>
      <c r="N22" s="83">
        <v>3023647</v>
      </c>
      <c r="O22" s="83">
        <f>1364800+808398</f>
        <v>2173198</v>
      </c>
      <c r="P22" s="83">
        <v>4280332</v>
      </c>
      <c r="Q22" s="41">
        <f t="shared" si="9"/>
        <v>0.50771715838864839</v>
      </c>
      <c r="R22" s="16">
        <v>6218768</v>
      </c>
      <c r="S22" s="28">
        <v>2195838.4699999997</v>
      </c>
      <c r="T22" s="28">
        <v>4363907</v>
      </c>
      <c r="U22" s="12">
        <f t="shared" si="10"/>
        <v>0.50318177495533245</v>
      </c>
      <c r="V22" s="28">
        <f>'FY 2009 Rev 01-15-10'!E26</f>
        <v>9130674</v>
      </c>
      <c r="W22" s="28">
        <f>SUM('FY 2009 Rev 01-15-10'!F26:K26)</f>
        <v>4505873.57</v>
      </c>
      <c r="X22" s="28">
        <v>6645972</v>
      </c>
      <c r="Y22" s="12">
        <f t="shared" si="4"/>
        <v>0.67798563851909099</v>
      </c>
      <c r="Z22" s="28">
        <v>13003197</v>
      </c>
      <c r="AA22" s="28">
        <f>SUM('FY 2008 Rev 01-15-10'!F25:K25)</f>
        <v>9100403.879999999</v>
      </c>
      <c r="AB22" s="28">
        <v>12385827</v>
      </c>
      <c r="AC22" s="12">
        <f t="shared" si="5"/>
        <v>0.73474333849487794</v>
      </c>
    </row>
    <row r="23" spans="1:29" ht="15.75" customHeight="1" thickBot="1">
      <c r="A23" s="131" t="s">
        <v>27</v>
      </c>
      <c r="B23" s="131"/>
      <c r="C23" s="16">
        <f t="shared" si="0"/>
        <v>28888485</v>
      </c>
      <c r="D23" s="16">
        <f t="shared" si="0"/>
        <v>30675366.979999997</v>
      </c>
      <c r="E23" s="12">
        <f t="shared" si="1"/>
        <v>1.0618544717730956</v>
      </c>
      <c r="F23" s="22">
        <f t="shared" si="2"/>
        <v>16231124.479999997</v>
      </c>
      <c r="G23" s="14">
        <f t="shared" si="6"/>
        <v>14444242.5</v>
      </c>
      <c r="H23" s="27">
        <v>0</v>
      </c>
      <c r="I23" s="10">
        <v>0.5</v>
      </c>
      <c r="J23" s="21" t="str">
        <f t="shared" si="7"/>
        <v>Miscellaneous</v>
      </c>
      <c r="K23" s="84">
        <f>18907985+895500+9085000</f>
        <v>28888485</v>
      </c>
      <c r="L23" s="84">
        <f>1533548.18+1137781.71+17486445.93+7491.25+24192.18+566087.4+92636.33+69308.39+9511563.48+246312.13</f>
        <v>30675366.979999997</v>
      </c>
      <c r="M23" s="38">
        <f t="shared" si="8"/>
        <v>1.0618544717730956</v>
      </c>
      <c r="N23" s="84">
        <f>19311594+880940+9605000+10000</f>
        <v>29807534</v>
      </c>
      <c r="O23" s="84">
        <f>1473214+738088+15935349+12329+708011+124826+55716+25420561+9966360+2500</f>
        <v>54436954</v>
      </c>
      <c r="P23" s="84">
        <f>23895082+1539427+37182911</f>
        <v>62617420</v>
      </c>
      <c r="Q23" s="38">
        <f t="shared" si="9"/>
        <v>0.86935798376873397</v>
      </c>
      <c r="R23" s="32">
        <f>19563765+980361+9265036</f>
        <v>29809162</v>
      </c>
      <c r="S23" s="33">
        <v>25995831.740000002</v>
      </c>
      <c r="T23" s="33">
        <f>23433323+1210790+10505556</f>
        <v>35149669</v>
      </c>
      <c r="U23" s="38">
        <f t="shared" si="10"/>
        <v>0.73957543497778033</v>
      </c>
      <c r="V23" s="33">
        <f>'FY 2009 Rev 01-15-10'!E30+'FY 2009 Rev 01-15-10'!E36+'FY 2009 Rev 01-15-10'!E43</f>
        <v>27526735</v>
      </c>
      <c r="W23" s="33">
        <f>SUM('FY 2009 Rev 01-15-10'!F30:K30,'FY 2009 Rev 01-15-10'!F36:K36,'FY 2009 Rev 01-15-10'!F43:K43)</f>
        <v>26278938.57</v>
      </c>
      <c r="X23" s="33">
        <f>21039243+2205778+66559129</f>
        <v>89804150</v>
      </c>
      <c r="Y23" s="38">
        <f t="shared" si="4"/>
        <v>0.29262499082726134</v>
      </c>
      <c r="Z23" s="33">
        <f>16681375+864500+9409162</f>
        <v>26955037</v>
      </c>
      <c r="AA23" s="33">
        <f>SUM('FY 2008 Rev 01-15-10'!F29:K29,'FY 2008 Rev 01-15-10'!F35:K35,'FY 2008 Rev 01-15-10'!F41:K41)</f>
        <v>24482720.57</v>
      </c>
      <c r="AB23" s="33">
        <f>21802800+2598162+31796434</f>
        <v>56197396</v>
      </c>
      <c r="AC23" s="38">
        <f t="shared" si="5"/>
        <v>0.43565578323237614</v>
      </c>
    </row>
    <row r="24" spans="1:29" ht="15.75" customHeight="1" thickBot="1">
      <c r="A24" s="137" t="s">
        <v>28</v>
      </c>
      <c r="B24" s="137"/>
      <c r="C24" s="94">
        <f>SUM(C17:C23)</f>
        <v>259331135</v>
      </c>
      <c r="D24" s="94">
        <f>SUM(D17:D23)</f>
        <v>233282902</v>
      </c>
      <c r="E24" s="12">
        <f t="shared" si="1"/>
        <v>0.89955609071004916</v>
      </c>
      <c r="F24" s="98">
        <f>SUM(F17:F23)</f>
        <v>103617334.5</v>
      </c>
      <c r="G24" s="14">
        <f t="shared" si="6"/>
        <v>129665567.5</v>
      </c>
      <c r="H24" s="27"/>
      <c r="J24" s="21"/>
      <c r="K24" s="85">
        <f>SUM(K17:K23)</f>
        <v>259331135</v>
      </c>
      <c r="L24" s="85">
        <f>SUM(L17:L23)</f>
        <v>233282902</v>
      </c>
      <c r="M24" s="39">
        <f>(L24/K24)</f>
        <v>0.89955609071004916</v>
      </c>
      <c r="N24" s="85">
        <f>SUM(N17:N23)</f>
        <v>256867802</v>
      </c>
      <c r="O24" s="85">
        <f>SUM(O17:O23)</f>
        <v>253235583</v>
      </c>
      <c r="P24" s="85">
        <f>SUM(P17:P23)</f>
        <v>302331838</v>
      </c>
      <c r="Q24" s="39">
        <f t="shared" si="9"/>
        <v>0.83760805568879582</v>
      </c>
      <c r="R24" s="31">
        <f>SUM(R17:R23)</f>
        <v>268005449</v>
      </c>
      <c r="S24" s="31">
        <f>SUM(S17:S23)</f>
        <v>223692878.11000001</v>
      </c>
      <c r="T24" s="31">
        <f>SUM(T17:T23)</f>
        <v>274421397</v>
      </c>
      <c r="U24" s="39">
        <f t="shared" si="10"/>
        <v>0.81514371894987481</v>
      </c>
      <c r="V24" s="31">
        <f>SUM(V17:V23)</f>
        <v>263954864</v>
      </c>
      <c r="W24" s="31">
        <f>SUM(W17:W23)</f>
        <v>229216768.43999997</v>
      </c>
      <c r="X24" s="31">
        <f>SUM(X17:X23)</f>
        <v>333117823.13999999</v>
      </c>
      <c r="Y24" s="39">
        <f t="shared" si="4"/>
        <v>0.68809517989575308</v>
      </c>
      <c r="Z24" s="31">
        <f>SUM(Z17:Z23)</f>
        <v>265347741</v>
      </c>
      <c r="AA24" s="31">
        <f>SUM(AA17:AA23)</f>
        <v>225145719.69999996</v>
      </c>
      <c r="AB24" s="31">
        <f>SUM(AB17:AB23)</f>
        <v>299184015</v>
      </c>
      <c r="AC24" s="39">
        <f t="shared" si="5"/>
        <v>0.75253258333337081</v>
      </c>
    </row>
    <row r="25" spans="1:29" ht="22.5" customHeight="1" thickTop="1">
      <c r="J25" s="21"/>
      <c r="K25" s="26"/>
    </row>
    <row r="26" spans="1:29">
      <c r="J26" s="21"/>
      <c r="K26" s="26"/>
    </row>
    <row r="40" spans="1:34">
      <c r="J40" s="35"/>
      <c r="K40" s="35"/>
    </row>
    <row r="41" spans="1:34">
      <c r="J41" s="35"/>
      <c r="K41" s="35"/>
    </row>
    <row r="42" spans="1:34">
      <c r="J42" s="35"/>
      <c r="K42" s="35"/>
    </row>
    <row r="43" spans="1:34">
      <c r="J43" s="35"/>
      <c r="K43" s="35"/>
    </row>
    <row r="44" spans="1:34">
      <c r="J44" s="35"/>
      <c r="K44" s="35"/>
    </row>
    <row r="45" spans="1:34">
      <c r="J45" s="35"/>
      <c r="K45" s="35"/>
    </row>
    <row r="46" spans="1:34" ht="33" customHeight="1">
      <c r="A46" s="133" t="s">
        <v>173</v>
      </c>
      <c r="B46" s="133"/>
      <c r="C46" s="133"/>
      <c r="D46" s="133"/>
      <c r="E46" s="133"/>
      <c r="F46" s="133"/>
      <c r="J46" s="35"/>
      <c r="K46" s="35"/>
    </row>
    <row r="47" spans="1:34" ht="12" customHeight="1">
      <c r="B47" s="18"/>
      <c r="C47" s="18"/>
      <c r="D47" s="18"/>
      <c r="E47" s="18"/>
      <c r="J47" s="35"/>
      <c r="K47" s="35"/>
    </row>
    <row r="48" spans="1:34" ht="36" customHeight="1">
      <c r="A48" s="138"/>
      <c r="B48" s="138"/>
      <c r="C48" s="19" t="s">
        <v>196</v>
      </c>
      <c r="D48" s="19" t="s">
        <v>208</v>
      </c>
      <c r="E48" s="19" t="s">
        <v>25</v>
      </c>
      <c r="F48" s="9" t="s">
        <v>134</v>
      </c>
      <c r="G48" s="10">
        <v>0.5</v>
      </c>
      <c r="H48" s="2" t="s">
        <v>43</v>
      </c>
      <c r="K48" s="40" t="s">
        <v>196</v>
      </c>
      <c r="L48" s="36" t="s">
        <v>212</v>
      </c>
      <c r="M48" s="37">
        <v>2012</v>
      </c>
      <c r="N48" s="36" t="s">
        <v>201</v>
      </c>
      <c r="O48" s="40" t="s">
        <v>151</v>
      </c>
      <c r="P48" s="36" t="s">
        <v>213</v>
      </c>
      <c r="Q48" s="37">
        <v>2011</v>
      </c>
      <c r="R48" s="36" t="s">
        <v>156</v>
      </c>
      <c r="S48" s="40" t="s">
        <v>94</v>
      </c>
      <c r="T48" s="36" t="s">
        <v>214</v>
      </c>
      <c r="U48" s="37">
        <v>2010</v>
      </c>
      <c r="V48" s="36" t="s">
        <v>109</v>
      </c>
      <c r="W48" s="36" t="s">
        <v>1</v>
      </c>
      <c r="X48" s="36" t="s">
        <v>137</v>
      </c>
      <c r="Y48" s="37">
        <v>2009</v>
      </c>
      <c r="Z48" s="36" t="s">
        <v>111</v>
      </c>
      <c r="AA48" s="36">
        <v>2009</v>
      </c>
      <c r="AB48" s="36" t="s">
        <v>112</v>
      </c>
      <c r="AC48" s="36" t="s">
        <v>104</v>
      </c>
      <c r="AD48" s="36" t="s">
        <v>138</v>
      </c>
      <c r="AE48" s="37">
        <v>2008</v>
      </c>
      <c r="AF48" s="36" t="s">
        <v>114</v>
      </c>
      <c r="AG48" s="36">
        <v>2008</v>
      </c>
      <c r="AH48" s="36" t="s">
        <v>115</v>
      </c>
    </row>
    <row r="49" spans="1:34" ht="15.75" customHeight="1">
      <c r="A49" s="135" t="s">
        <v>29</v>
      </c>
      <c r="B49" s="136"/>
      <c r="C49" s="94">
        <f>K49</f>
        <v>304283</v>
      </c>
      <c r="D49" s="94">
        <f>L49</f>
        <v>132819.22</v>
      </c>
      <c r="E49" s="12">
        <f t="shared" ref="E49:E62" si="11">(D49/C49)</f>
        <v>0.43649898285477662</v>
      </c>
      <c r="F49" s="22">
        <f>+G49-D49</f>
        <v>19322.28</v>
      </c>
      <c r="G49" s="23">
        <f>C49*0.5</f>
        <v>152141.5</v>
      </c>
      <c r="H49" s="24">
        <f t="shared" ref="H49:H61" si="12">C49-D49</f>
        <v>171463.78</v>
      </c>
      <c r="I49" s="1">
        <v>0.5</v>
      </c>
      <c r="J49" s="35" t="s">
        <v>29</v>
      </c>
      <c r="K49" s="13">
        <v>304283</v>
      </c>
      <c r="L49" s="82">
        <v>132819.22</v>
      </c>
      <c r="M49" s="41">
        <f t="shared" ref="M49:M62" si="13">(L49/K49)</f>
        <v>0.43649898285477662</v>
      </c>
      <c r="N49" s="13">
        <f>K49-L49</f>
        <v>171463.78</v>
      </c>
      <c r="O49" s="13">
        <v>359430</v>
      </c>
      <c r="P49" s="82">
        <v>139650</v>
      </c>
      <c r="Q49" s="41">
        <f t="shared" ref="Q49:Q62" si="14">(P49/O49)</f>
        <v>0.38853184208329855</v>
      </c>
      <c r="R49" s="13">
        <f>O49-P49</f>
        <v>219780</v>
      </c>
      <c r="S49" s="13">
        <v>346531</v>
      </c>
      <c r="T49" s="13">
        <v>147348.93</v>
      </c>
      <c r="U49" s="41">
        <f t="shared" ref="U49:U62" si="15">(T49/S49)</f>
        <v>0.42521139522870965</v>
      </c>
      <c r="V49" s="13">
        <f>S49-T49</f>
        <v>199182.07</v>
      </c>
      <c r="W49" s="13">
        <f>'FY 2009 Exp 01-15-10'!C2</f>
        <v>351630</v>
      </c>
      <c r="X49" s="13">
        <f>SUM('FY 2009 Exp 01-15-10'!F2:K2)</f>
        <v>162798.17000000001</v>
      </c>
      <c r="Y49" s="41">
        <f>X49/W49</f>
        <v>0.46298145778232808</v>
      </c>
      <c r="Z49" s="13">
        <f>'FY 2009 Exp 01-15-10'!D2</f>
        <v>525313</v>
      </c>
      <c r="AA49" s="41">
        <f>X49/Z49</f>
        <v>0.30990698878573347</v>
      </c>
      <c r="AB49" s="13">
        <f>W49-X49</f>
        <v>188831.83</v>
      </c>
      <c r="AC49" s="13">
        <f>'FY 2008 Exp 01-15-10'!C2</f>
        <v>370277</v>
      </c>
      <c r="AD49" s="13">
        <f>SUM('FY 2008 Exp 01-15-10'!F2:K2)</f>
        <v>160037.9</v>
      </c>
      <c r="AE49" s="41">
        <f>AD49/AC49</f>
        <v>0.43221129046632656</v>
      </c>
      <c r="AF49" s="13">
        <f>'FY 2008 Exp 01-15-10'!D2</f>
        <v>727556</v>
      </c>
      <c r="AG49" s="41">
        <f>AD49/AF49</f>
        <v>0.21996643557334417</v>
      </c>
      <c r="AH49" s="13">
        <f>AC49-AD49</f>
        <v>210239.1</v>
      </c>
    </row>
    <row r="50" spans="1:34" ht="15.75" customHeight="1">
      <c r="A50" s="135" t="s">
        <v>116</v>
      </c>
      <c r="B50" s="136"/>
      <c r="C50" s="88">
        <f>K50</f>
        <v>1166679</v>
      </c>
      <c r="D50" s="88">
        <f>L50</f>
        <v>560939.68000000005</v>
      </c>
      <c r="E50" s="12">
        <f t="shared" si="11"/>
        <v>0.48080035725336623</v>
      </c>
      <c r="F50" s="22">
        <f t="shared" ref="F50:F62" si="16">+G50-D50</f>
        <v>22399.819999999949</v>
      </c>
      <c r="G50" s="23">
        <f t="shared" ref="G50:G62" si="17">C50*0.5</f>
        <v>583339.5</v>
      </c>
      <c r="H50" s="25">
        <f t="shared" si="12"/>
        <v>605739.31999999995</v>
      </c>
      <c r="I50" s="1">
        <v>0.5</v>
      </c>
      <c r="J50" s="35" t="s">
        <v>116</v>
      </c>
      <c r="K50" s="83">
        <v>1166679</v>
      </c>
      <c r="L50" s="86">
        <v>560939.68000000005</v>
      </c>
      <c r="M50" s="41">
        <f t="shared" si="13"/>
        <v>0.48080035725336623</v>
      </c>
      <c r="N50" s="42">
        <f t="shared" ref="N50:N61" si="18">K50-L50</f>
        <v>605739.31999999995</v>
      </c>
      <c r="O50" s="83">
        <v>1134812</v>
      </c>
      <c r="P50" s="86">
        <v>1751403</v>
      </c>
      <c r="Q50" s="41">
        <f t="shared" si="14"/>
        <v>1.5433419808743651</v>
      </c>
      <c r="R50" s="42">
        <f t="shared" ref="R50:R61" si="19">O50-P50</f>
        <v>-616591</v>
      </c>
      <c r="S50" s="42">
        <v>1078918</v>
      </c>
      <c r="T50" s="42">
        <v>1525134.47</v>
      </c>
      <c r="U50" s="41">
        <f t="shared" si="15"/>
        <v>1.4135777417746298</v>
      </c>
      <c r="V50" s="42">
        <f t="shared" ref="V50:V61" si="20">S50-T50</f>
        <v>-446216.47</v>
      </c>
      <c r="W50" s="42">
        <f>'FY 2009 Exp 01-15-10'!C3</f>
        <v>1209220</v>
      </c>
      <c r="X50" s="42">
        <f>SUM('FY 2009 Exp 01-15-10'!F3:K3)</f>
        <v>1791530.07</v>
      </c>
      <c r="Y50" s="41">
        <f t="shared" ref="Y50:Y62" si="21">X50/W50</f>
        <v>1.4815584178230596</v>
      </c>
      <c r="Z50" s="42">
        <f>'FY 2009 Exp 01-15-10'!D3</f>
        <v>1275791</v>
      </c>
      <c r="AA50" s="41">
        <f t="shared" ref="AA50:AA62" si="22">X50/Z50</f>
        <v>1.4042504375716713</v>
      </c>
      <c r="AB50" s="42">
        <f t="shared" ref="AB50:AB61" si="23">W50-X50</f>
        <v>-582310.07000000007</v>
      </c>
      <c r="AC50" s="42">
        <f>'FY 2008 Exp 01-15-10'!C3</f>
        <v>1199159</v>
      </c>
      <c r="AD50" s="42">
        <f>SUM('FY 2008 Exp 01-15-10'!F3:K3)</f>
        <v>1219724.54</v>
      </c>
      <c r="AE50" s="41">
        <f t="shared" ref="AE50:AE62" si="24">AD50/AC50</f>
        <v>1.0171499692701302</v>
      </c>
      <c r="AF50" s="42">
        <f>'FY 2008 Exp 01-15-10'!D3</f>
        <v>1238216</v>
      </c>
      <c r="AG50" s="41">
        <f t="shared" ref="AG50:AG62" si="25">AD50/AF50</f>
        <v>0.98506604663483599</v>
      </c>
      <c r="AH50" s="13">
        <f t="shared" ref="AH50:AH61" si="26">AC50-AD50</f>
        <v>-20565.540000000037</v>
      </c>
    </row>
    <row r="51" spans="1:34" ht="15.75" customHeight="1">
      <c r="A51" s="135" t="s">
        <v>131</v>
      </c>
      <c r="B51" s="136"/>
      <c r="C51" s="88">
        <f t="shared" ref="C51:D61" si="27">K51</f>
        <v>43927702</v>
      </c>
      <c r="D51" s="88">
        <f t="shared" si="27"/>
        <v>34951925.020000003</v>
      </c>
      <c r="E51" s="12">
        <f t="shared" si="11"/>
        <v>0.79566932547484504</v>
      </c>
      <c r="F51" s="22">
        <f t="shared" si="16"/>
        <v>-12988074.020000003</v>
      </c>
      <c r="G51" s="23">
        <f t="shared" si="17"/>
        <v>21963851</v>
      </c>
      <c r="H51" s="25">
        <f t="shared" si="12"/>
        <v>8975776.9799999967</v>
      </c>
      <c r="I51" s="1">
        <v>0.5</v>
      </c>
      <c r="J51" s="35" t="s">
        <v>131</v>
      </c>
      <c r="K51" s="83">
        <v>43927702</v>
      </c>
      <c r="L51" s="86">
        <v>34951925.020000003</v>
      </c>
      <c r="M51" s="41">
        <f t="shared" si="13"/>
        <v>0.79566932547484504</v>
      </c>
      <c r="N51" s="42">
        <f t="shared" si="18"/>
        <v>8975776.9799999967</v>
      </c>
      <c r="O51" s="83">
        <v>43487800</v>
      </c>
      <c r="P51" s="86">
        <v>37462677</v>
      </c>
      <c r="Q51" s="41">
        <f t="shared" si="14"/>
        <v>0.86145256830651351</v>
      </c>
      <c r="R51" s="42">
        <f t="shared" si="19"/>
        <v>6025123</v>
      </c>
      <c r="S51" s="42">
        <v>43665123</v>
      </c>
      <c r="T51" s="42">
        <v>35053226.109999999</v>
      </c>
      <c r="U51" s="41">
        <f t="shared" si="15"/>
        <v>0.80277401508751045</v>
      </c>
      <c r="V51" s="42">
        <f t="shared" si="20"/>
        <v>8611896.8900000006</v>
      </c>
      <c r="W51" s="42">
        <f>'FY 2009 Exp 01-15-10'!C4</f>
        <v>42789548</v>
      </c>
      <c r="X51" s="42">
        <f>SUM('FY 2009 Exp 01-15-10'!F4:K4)</f>
        <v>34011444.530000001</v>
      </c>
      <c r="Y51" s="41">
        <f t="shared" si="21"/>
        <v>0.79485402673568795</v>
      </c>
      <c r="Z51" s="42">
        <f>'FY 2009 Exp 01-15-10'!D4</f>
        <v>47916306</v>
      </c>
      <c r="AA51" s="41">
        <f t="shared" si="22"/>
        <v>0.70980940246103286</v>
      </c>
      <c r="AB51" s="42">
        <f t="shared" si="23"/>
        <v>8778103.4699999988</v>
      </c>
      <c r="AC51" s="42">
        <f>'FY 2008 Exp 01-15-10'!C4</f>
        <v>39688692</v>
      </c>
      <c r="AD51" s="42">
        <f>SUM('FY 2008 Exp 01-15-10'!F4:K4)</f>
        <v>31604478.079999998</v>
      </c>
      <c r="AE51" s="41">
        <f t="shared" si="24"/>
        <v>0.79630938908241167</v>
      </c>
      <c r="AF51" s="42">
        <f>'FY 2008 Exp 01-15-10'!D4</f>
        <v>50299627</v>
      </c>
      <c r="AG51" s="41">
        <f t="shared" si="25"/>
        <v>0.6283243030808161</v>
      </c>
      <c r="AH51" s="13">
        <f t="shared" si="26"/>
        <v>8084213.9200000018</v>
      </c>
    </row>
    <row r="52" spans="1:34" ht="15.75" customHeight="1">
      <c r="A52" s="135" t="s">
        <v>30</v>
      </c>
      <c r="B52" s="136"/>
      <c r="C52" s="88">
        <f t="shared" si="27"/>
        <v>3539581</v>
      </c>
      <c r="D52" s="88">
        <f t="shared" si="27"/>
        <v>1181233.3400000001</v>
      </c>
      <c r="E52" s="12">
        <f t="shared" si="11"/>
        <v>0.3337212342364817</v>
      </c>
      <c r="F52" s="22">
        <f t="shared" si="16"/>
        <v>588557.15999999992</v>
      </c>
      <c r="G52" s="23">
        <f t="shared" si="17"/>
        <v>1769790.5</v>
      </c>
      <c r="H52" s="25">
        <f t="shared" si="12"/>
        <v>2358347.66</v>
      </c>
      <c r="I52" s="1">
        <v>0.5</v>
      </c>
      <c r="J52" s="35" t="s">
        <v>30</v>
      </c>
      <c r="K52" s="83">
        <v>3539581</v>
      </c>
      <c r="L52" s="86">
        <v>1181233.3400000001</v>
      </c>
      <c r="M52" s="41">
        <f t="shared" si="13"/>
        <v>0.3337212342364817</v>
      </c>
      <c r="N52" s="42">
        <f t="shared" si="18"/>
        <v>2358347.66</v>
      </c>
      <c r="O52" s="83">
        <v>2892101</v>
      </c>
      <c r="P52" s="86">
        <v>991365</v>
      </c>
      <c r="Q52" s="41">
        <f t="shared" si="14"/>
        <v>0.34278367180122687</v>
      </c>
      <c r="R52" s="42">
        <f t="shared" si="19"/>
        <v>1900736</v>
      </c>
      <c r="S52" s="42">
        <v>3263326</v>
      </c>
      <c r="T52" s="42">
        <v>1757717.35</v>
      </c>
      <c r="U52" s="41">
        <f t="shared" si="15"/>
        <v>0.53862756892814267</v>
      </c>
      <c r="V52" s="42">
        <f t="shared" si="20"/>
        <v>1505608.65</v>
      </c>
      <c r="W52" s="42">
        <f>'FY 2009 Exp 01-15-10'!C5</f>
        <v>3360551</v>
      </c>
      <c r="X52" s="42">
        <f>SUM('FY 2009 Exp 01-15-10'!F5:K5)</f>
        <v>1544489.4300000002</v>
      </c>
      <c r="Y52" s="41">
        <f t="shared" si="21"/>
        <v>0.45959410525238276</v>
      </c>
      <c r="Z52" s="42">
        <f>'FY 2009 Exp 01-15-10'!D5</f>
        <v>3318332</v>
      </c>
      <c r="AA52" s="41">
        <f t="shared" si="22"/>
        <v>0.4654415019353097</v>
      </c>
      <c r="AB52" s="42">
        <f t="shared" si="23"/>
        <v>1816061.5699999998</v>
      </c>
      <c r="AC52" s="42">
        <f>'FY 2008 Exp 01-15-10'!C5</f>
        <v>2433415</v>
      </c>
      <c r="AD52" s="42">
        <f>SUM('FY 2008 Exp 01-15-10'!F5:K5)</f>
        <v>1381115.9300000002</v>
      </c>
      <c r="AE52" s="41">
        <f t="shared" si="24"/>
        <v>0.56756284069918206</v>
      </c>
      <c r="AF52" s="42">
        <f>'FY 2008 Exp 01-15-10'!D5</f>
        <v>3139760</v>
      </c>
      <c r="AG52" s="41">
        <f t="shared" si="25"/>
        <v>0.43987945893953684</v>
      </c>
      <c r="AH52" s="13">
        <f t="shared" si="26"/>
        <v>1052299.0699999998</v>
      </c>
    </row>
    <row r="53" spans="1:34" ht="15.75" customHeight="1">
      <c r="A53" s="135" t="s">
        <v>15</v>
      </c>
      <c r="B53" s="136"/>
      <c r="C53" s="88">
        <f t="shared" si="27"/>
        <v>10245180</v>
      </c>
      <c r="D53" s="88">
        <f t="shared" si="27"/>
        <v>5458810.4699999997</v>
      </c>
      <c r="E53" s="12">
        <f t="shared" si="11"/>
        <v>0.5328174292691783</v>
      </c>
      <c r="F53" s="22">
        <f t="shared" si="16"/>
        <v>-336220.46999999974</v>
      </c>
      <c r="G53" s="23">
        <f t="shared" si="17"/>
        <v>5122590</v>
      </c>
      <c r="H53" s="25">
        <f t="shared" si="12"/>
        <v>4786369.53</v>
      </c>
      <c r="I53" s="1">
        <v>0.5</v>
      </c>
      <c r="J53" s="35" t="s">
        <v>15</v>
      </c>
      <c r="K53" s="83">
        <v>10245180</v>
      </c>
      <c r="L53" s="86">
        <v>5458810.4699999997</v>
      </c>
      <c r="M53" s="41">
        <f t="shared" si="13"/>
        <v>0.5328174292691783</v>
      </c>
      <c r="N53" s="42">
        <f t="shared" si="18"/>
        <v>4786369.53</v>
      </c>
      <c r="O53" s="83">
        <v>10586321</v>
      </c>
      <c r="P53" s="86">
        <v>5265073</v>
      </c>
      <c r="Q53" s="41">
        <f t="shared" si="14"/>
        <v>0.49734681198501351</v>
      </c>
      <c r="R53" s="42">
        <f t="shared" si="19"/>
        <v>5321248</v>
      </c>
      <c r="S53" s="42">
        <v>10604579</v>
      </c>
      <c r="T53" s="42">
        <v>5580579.9500000002</v>
      </c>
      <c r="U53" s="41">
        <f t="shared" si="15"/>
        <v>0.52624247978161132</v>
      </c>
      <c r="V53" s="42">
        <f t="shared" si="20"/>
        <v>5023999.05</v>
      </c>
      <c r="W53" s="42">
        <f>'FY 2009 Exp 01-15-10'!C6</f>
        <v>10906229</v>
      </c>
      <c r="X53" s="42">
        <f>SUM('FY 2009 Exp 01-15-10'!F6:K6)</f>
        <v>5148824.4700000007</v>
      </c>
      <c r="Y53" s="41">
        <f t="shared" si="21"/>
        <v>0.47209942776737962</v>
      </c>
      <c r="Z53" s="42">
        <f>'FY 2009 Exp 01-15-10'!D6</f>
        <v>11732575</v>
      </c>
      <c r="AA53" s="41">
        <f t="shared" si="22"/>
        <v>0.43884863041574423</v>
      </c>
      <c r="AB53" s="42">
        <f t="shared" si="23"/>
        <v>5757404.5299999993</v>
      </c>
      <c r="AC53" s="42">
        <f>'FY 2008 Exp 01-15-10'!C6</f>
        <v>9925189</v>
      </c>
      <c r="AD53" s="42">
        <f>SUM('FY 2008 Exp 01-15-10'!F6:K6)</f>
        <v>5101042.6500000004</v>
      </c>
      <c r="AE53" s="41">
        <f t="shared" si="24"/>
        <v>0.51394917013670982</v>
      </c>
      <c r="AF53" s="42">
        <f>'FY 2008 Exp 01-15-10'!D6</f>
        <v>10236244</v>
      </c>
      <c r="AG53" s="41">
        <f t="shared" si="25"/>
        <v>0.49833148271963823</v>
      </c>
      <c r="AH53" s="13">
        <f t="shared" si="26"/>
        <v>4824146.3499999996</v>
      </c>
    </row>
    <row r="54" spans="1:34" ht="15.75" customHeight="1">
      <c r="A54" s="135" t="s">
        <v>14</v>
      </c>
      <c r="B54" s="136"/>
      <c r="C54" s="88">
        <f t="shared" si="27"/>
        <v>35621648</v>
      </c>
      <c r="D54" s="88">
        <f t="shared" si="27"/>
        <v>13285639.1</v>
      </c>
      <c r="E54" s="12">
        <f t="shared" si="11"/>
        <v>0.37296531311521575</v>
      </c>
      <c r="F54" s="22">
        <f t="shared" si="16"/>
        <v>4525184.9000000004</v>
      </c>
      <c r="G54" s="23">
        <f t="shared" si="17"/>
        <v>17810824</v>
      </c>
      <c r="H54" s="25">
        <f t="shared" si="12"/>
        <v>22336008.899999999</v>
      </c>
      <c r="I54" s="1">
        <v>0.5</v>
      </c>
      <c r="J54" s="35" t="s">
        <v>205</v>
      </c>
      <c r="K54" s="83">
        <v>35621648</v>
      </c>
      <c r="L54" s="86">
        <v>13285639.1</v>
      </c>
      <c r="M54" s="41">
        <f t="shared" si="13"/>
        <v>0.37296531311521575</v>
      </c>
      <c r="N54" s="42">
        <f t="shared" si="18"/>
        <v>22336008.899999999</v>
      </c>
      <c r="O54" s="83">
        <v>41179358</v>
      </c>
      <c r="P54" s="86">
        <v>17901019</v>
      </c>
      <c r="Q54" s="41">
        <f t="shared" si="14"/>
        <v>0.43470854985160284</v>
      </c>
      <c r="R54" s="42">
        <f t="shared" si="19"/>
        <v>23278339</v>
      </c>
      <c r="S54" s="42">
        <v>40714461</v>
      </c>
      <c r="T54" s="42">
        <v>17620089.010000002</v>
      </c>
      <c r="U54" s="41">
        <f t="shared" si="15"/>
        <v>0.43277225283665188</v>
      </c>
      <c r="V54" s="42">
        <f t="shared" si="20"/>
        <v>23094371.989999998</v>
      </c>
      <c r="W54" s="42">
        <f>'FY 2009 Exp 01-15-10'!C7</f>
        <v>39128938</v>
      </c>
      <c r="X54" s="42">
        <f>SUM('FY 2009 Exp 01-15-10'!F7:K7)</f>
        <v>15298771.359999999</v>
      </c>
      <c r="Y54" s="41">
        <f t="shared" si="21"/>
        <v>0.39098355697770276</v>
      </c>
      <c r="Z54" s="42">
        <f>'FY 2009 Exp 01-15-10'!D7</f>
        <v>41658952</v>
      </c>
      <c r="AA54" s="41">
        <f t="shared" si="22"/>
        <v>0.36723850758415622</v>
      </c>
      <c r="AB54" s="42">
        <f t="shared" si="23"/>
        <v>23830166.640000001</v>
      </c>
      <c r="AC54" s="42">
        <f>'FY 2008 Exp 01-15-10'!C7</f>
        <v>37639150</v>
      </c>
      <c r="AD54" s="42">
        <f>SUM('FY 2008 Exp 01-15-10'!F7:K7)</f>
        <v>11355359.810000001</v>
      </c>
      <c r="AE54" s="41">
        <f t="shared" si="24"/>
        <v>0.30169012344859009</v>
      </c>
      <c r="AF54" s="42">
        <f>'FY 2008 Exp 01-15-10'!D7</f>
        <v>36096874</v>
      </c>
      <c r="AG54" s="41">
        <f t="shared" si="25"/>
        <v>0.31458014369886989</v>
      </c>
      <c r="AH54" s="13">
        <f t="shared" si="26"/>
        <v>26283790.189999998</v>
      </c>
    </row>
    <row r="55" spans="1:34" ht="15.75" customHeight="1">
      <c r="A55" s="135" t="s">
        <v>117</v>
      </c>
      <c r="B55" s="136"/>
      <c r="C55" s="88">
        <f t="shared" si="27"/>
        <v>17339921</v>
      </c>
      <c r="D55" s="88">
        <f t="shared" si="27"/>
        <v>8354114.6100000003</v>
      </c>
      <c r="E55" s="12">
        <f t="shared" si="11"/>
        <v>0.48178504446473547</v>
      </c>
      <c r="F55" s="22">
        <f t="shared" si="16"/>
        <v>315845.88999999966</v>
      </c>
      <c r="G55" s="23">
        <f t="shared" si="17"/>
        <v>8669960.5</v>
      </c>
      <c r="H55" s="25">
        <f t="shared" si="12"/>
        <v>8985806.3900000006</v>
      </c>
      <c r="I55" s="1">
        <v>0.5</v>
      </c>
      <c r="J55" s="35" t="s">
        <v>117</v>
      </c>
      <c r="K55" s="83">
        <v>17339921</v>
      </c>
      <c r="L55" s="86">
        <v>8354114.6100000003</v>
      </c>
      <c r="M55" s="41">
        <f t="shared" si="13"/>
        <v>0.48178504446473547</v>
      </c>
      <c r="N55" s="42">
        <f t="shared" si="18"/>
        <v>8985806.3900000006</v>
      </c>
      <c r="O55" s="83">
        <v>19492602</v>
      </c>
      <c r="P55" s="86">
        <v>8658087</v>
      </c>
      <c r="Q55" s="41">
        <f t="shared" si="14"/>
        <v>0.4441729739313407</v>
      </c>
      <c r="R55" s="42">
        <f t="shared" si="19"/>
        <v>10834515</v>
      </c>
      <c r="S55" s="42">
        <v>17404071</v>
      </c>
      <c r="T55" s="42">
        <v>9665369.1099999994</v>
      </c>
      <c r="U55" s="41">
        <f t="shared" si="15"/>
        <v>0.55535105033759047</v>
      </c>
      <c r="V55" s="42">
        <f t="shared" si="20"/>
        <v>7738701.8900000006</v>
      </c>
      <c r="W55" s="42">
        <f>'FY 2009 Exp 01-15-10'!C8</f>
        <v>17368061</v>
      </c>
      <c r="X55" s="42">
        <f>SUM('FY 2009 Exp 01-15-10'!F8:K8)</f>
        <v>8576793.1199999992</v>
      </c>
      <c r="Y55" s="41">
        <f t="shared" si="21"/>
        <v>0.49382559860884867</v>
      </c>
      <c r="Z55" s="42">
        <f>'FY 2009 Exp 01-15-10'!D8</f>
        <v>17937753</v>
      </c>
      <c r="AA55" s="41">
        <f t="shared" si="22"/>
        <v>0.47814200139783392</v>
      </c>
      <c r="AB55" s="42">
        <f t="shared" si="23"/>
        <v>8791267.8800000008</v>
      </c>
      <c r="AC55" s="42">
        <f>'FY 2008 Exp 01-15-10'!C8</f>
        <v>17183257</v>
      </c>
      <c r="AD55" s="42">
        <f>SUM('FY 2008 Exp 01-15-10'!F8:K8)</f>
        <v>7080681.1200000001</v>
      </c>
      <c r="AE55" s="41">
        <f t="shared" si="24"/>
        <v>0.41206862703618996</v>
      </c>
      <c r="AF55" s="42">
        <f>'FY 2008 Exp 01-15-10'!D8</f>
        <v>15836617</v>
      </c>
      <c r="AG55" s="41">
        <f t="shared" si="25"/>
        <v>0.44710818731045904</v>
      </c>
      <c r="AH55" s="13">
        <f t="shared" si="26"/>
        <v>10102575.879999999</v>
      </c>
    </row>
    <row r="56" spans="1:34" ht="15.75" customHeight="1">
      <c r="A56" s="135" t="s">
        <v>31</v>
      </c>
      <c r="B56" s="136"/>
      <c r="C56" s="88">
        <f t="shared" si="27"/>
        <v>17000798</v>
      </c>
      <c r="D56" s="88">
        <f t="shared" si="27"/>
        <v>8651472.4900000002</v>
      </c>
      <c r="E56" s="12">
        <f t="shared" si="11"/>
        <v>0.50888625875091276</v>
      </c>
      <c r="F56" s="22">
        <f t="shared" si="16"/>
        <v>-151073.49000000022</v>
      </c>
      <c r="G56" s="23">
        <f t="shared" si="17"/>
        <v>8500399</v>
      </c>
      <c r="H56" s="25">
        <f t="shared" si="12"/>
        <v>8349325.5099999998</v>
      </c>
      <c r="I56" s="1">
        <v>0.5</v>
      </c>
      <c r="J56" s="35" t="s">
        <v>31</v>
      </c>
      <c r="K56" s="83">
        <v>17000798</v>
      </c>
      <c r="L56" s="86">
        <v>8651472.4900000002</v>
      </c>
      <c r="M56" s="41">
        <f t="shared" si="13"/>
        <v>0.50888625875091276</v>
      </c>
      <c r="N56" s="42">
        <f t="shared" si="18"/>
        <v>8349325.5099999998</v>
      </c>
      <c r="O56" s="83">
        <v>17117766</v>
      </c>
      <c r="P56" s="86">
        <v>8347951</v>
      </c>
      <c r="Q56" s="41">
        <f t="shared" si="14"/>
        <v>0.48767759764913249</v>
      </c>
      <c r="R56" s="42">
        <f t="shared" si="19"/>
        <v>8769815</v>
      </c>
      <c r="S56" s="42">
        <v>17413314</v>
      </c>
      <c r="T56" s="42">
        <v>8874392.9399999995</v>
      </c>
      <c r="U56" s="41">
        <f t="shared" si="15"/>
        <v>0.50963262593208847</v>
      </c>
      <c r="V56" s="42">
        <f t="shared" si="20"/>
        <v>8538921.0600000005</v>
      </c>
      <c r="W56" s="42">
        <f>'FY 2009 Exp 01-15-10'!C9</f>
        <v>17278014</v>
      </c>
      <c r="X56" s="42">
        <f>SUM('FY 2009 Exp 01-15-10'!F9:K9)</f>
        <v>8310298.7700000005</v>
      </c>
      <c r="Y56" s="41">
        <f t="shared" si="21"/>
        <v>0.48097534647211193</v>
      </c>
      <c r="Z56" s="42">
        <f>'FY 2009 Exp 01-15-10'!D9</f>
        <v>17898937</v>
      </c>
      <c r="AA56" s="41">
        <f t="shared" si="22"/>
        <v>0.46429007320378862</v>
      </c>
      <c r="AB56" s="42">
        <f t="shared" si="23"/>
        <v>8967715.2300000004</v>
      </c>
      <c r="AC56" s="42">
        <f>'FY 2008 Exp 01-15-10'!C9</f>
        <v>16892588</v>
      </c>
      <c r="AD56" s="42">
        <f>SUM('FY 2008 Exp 01-15-10'!F9:K9)</f>
        <v>7887350.6899999995</v>
      </c>
      <c r="AE56" s="41">
        <f t="shared" si="24"/>
        <v>0.46691191959455824</v>
      </c>
      <c r="AF56" s="42">
        <f>'FY 2008 Exp 01-15-10'!D9</f>
        <v>17511804</v>
      </c>
      <c r="AG56" s="41">
        <f t="shared" si="25"/>
        <v>0.45040195116391202</v>
      </c>
      <c r="AH56" s="13">
        <f t="shared" si="26"/>
        <v>9005237.3100000005</v>
      </c>
    </row>
    <row r="57" spans="1:34" ht="15.75" customHeight="1">
      <c r="A57" s="135" t="s">
        <v>32</v>
      </c>
      <c r="B57" s="136"/>
      <c r="C57" s="88">
        <f t="shared" si="27"/>
        <v>10468040</v>
      </c>
      <c r="D57" s="88">
        <f t="shared" si="27"/>
        <v>5434989.46</v>
      </c>
      <c r="E57" s="12">
        <f t="shared" si="11"/>
        <v>0.51919838479791824</v>
      </c>
      <c r="F57" s="22">
        <f t="shared" si="16"/>
        <v>-200969.45999999996</v>
      </c>
      <c r="G57" s="23">
        <f t="shared" si="17"/>
        <v>5234020</v>
      </c>
      <c r="H57" s="25">
        <f t="shared" si="12"/>
        <v>5033050.54</v>
      </c>
      <c r="I57" s="1">
        <v>0.5</v>
      </c>
      <c r="J57" s="35" t="s">
        <v>32</v>
      </c>
      <c r="K57" s="83">
        <v>10468040</v>
      </c>
      <c r="L57" s="86">
        <v>5434989.46</v>
      </c>
      <c r="M57" s="41">
        <f t="shared" si="13"/>
        <v>0.51919838479791824</v>
      </c>
      <c r="N57" s="42">
        <f t="shared" si="18"/>
        <v>5033050.54</v>
      </c>
      <c r="O57" s="83">
        <v>10895570</v>
      </c>
      <c r="P57" s="86">
        <v>5491960</v>
      </c>
      <c r="Q57" s="41">
        <f t="shared" si="14"/>
        <v>0.50405440009104618</v>
      </c>
      <c r="R57" s="42">
        <f t="shared" si="19"/>
        <v>5403610</v>
      </c>
      <c r="S57" s="42">
        <v>10775827</v>
      </c>
      <c r="T57" s="42">
        <v>5789049.0099999998</v>
      </c>
      <c r="U57" s="41">
        <f t="shared" si="15"/>
        <v>0.53722549647465567</v>
      </c>
      <c r="V57" s="42">
        <f t="shared" si="20"/>
        <v>4986777.99</v>
      </c>
      <c r="W57" s="42">
        <f>'FY 2009 Exp 01-15-10'!C10</f>
        <v>10462445</v>
      </c>
      <c r="X57" s="42">
        <f>SUM('FY 2009 Exp 01-15-10'!F10:K10)</f>
        <v>5235693.53</v>
      </c>
      <c r="Y57" s="41">
        <f t="shared" si="21"/>
        <v>0.50042734083667828</v>
      </c>
      <c r="Z57" s="42">
        <f>'FY 2009 Exp 01-15-10'!D10</f>
        <v>10559987</v>
      </c>
      <c r="AA57" s="41">
        <f t="shared" si="22"/>
        <v>0.49580492191893799</v>
      </c>
      <c r="AB57" s="42">
        <f t="shared" si="23"/>
        <v>5226751.47</v>
      </c>
      <c r="AC57" s="42">
        <f>'FY 2008 Exp 01-15-10'!C10</f>
        <v>10123030</v>
      </c>
      <c r="AD57" s="42">
        <f>SUM('FY 2008 Exp 01-15-10'!F10:K10)</f>
        <v>5045943.1099999994</v>
      </c>
      <c r="AE57" s="41">
        <f t="shared" si="24"/>
        <v>0.49846173625880785</v>
      </c>
      <c r="AF57" s="42">
        <f>'FY 2008 Exp 01-15-10'!D10</f>
        <v>10223818</v>
      </c>
      <c r="AG57" s="41">
        <f t="shared" si="25"/>
        <v>0.49354782234973271</v>
      </c>
      <c r="AH57" s="13">
        <f t="shared" si="26"/>
        <v>5077086.8900000006</v>
      </c>
    </row>
    <row r="58" spans="1:34" ht="15.75" customHeight="1">
      <c r="A58" s="135" t="s">
        <v>33</v>
      </c>
      <c r="B58" s="136"/>
      <c r="C58" s="88">
        <f t="shared" si="27"/>
        <v>13924247</v>
      </c>
      <c r="D58" s="88">
        <f t="shared" si="27"/>
        <v>6037267.8700000001</v>
      </c>
      <c r="E58" s="12">
        <f t="shared" si="11"/>
        <v>0.43357948691947218</v>
      </c>
      <c r="F58" s="22">
        <f t="shared" si="16"/>
        <v>924855.62999999989</v>
      </c>
      <c r="G58" s="23">
        <f t="shared" si="17"/>
        <v>6962123.5</v>
      </c>
      <c r="H58" s="25">
        <f t="shared" si="12"/>
        <v>7886979.1299999999</v>
      </c>
      <c r="I58" s="1">
        <v>0.5</v>
      </c>
      <c r="J58" s="35" t="s">
        <v>33</v>
      </c>
      <c r="K58" s="83">
        <v>13924247</v>
      </c>
      <c r="L58" s="86">
        <v>6037267.8700000001</v>
      </c>
      <c r="M58" s="41">
        <f t="shared" si="13"/>
        <v>0.43357948691947218</v>
      </c>
      <c r="N58" s="42">
        <f t="shared" si="18"/>
        <v>7886979.1299999999</v>
      </c>
      <c r="O58" s="83">
        <v>11591817</v>
      </c>
      <c r="P58" s="86">
        <v>16536076</v>
      </c>
      <c r="Q58" s="41">
        <f t="shared" si="14"/>
        <v>1.4265301117158768</v>
      </c>
      <c r="R58" s="42">
        <f t="shared" si="19"/>
        <v>-4944259</v>
      </c>
      <c r="S58" s="42">
        <v>13414559</v>
      </c>
      <c r="T58" s="42">
        <v>7489826.7000000002</v>
      </c>
      <c r="U58" s="41">
        <f t="shared" si="15"/>
        <v>0.5583356635130533</v>
      </c>
      <c r="V58" s="42">
        <f t="shared" si="20"/>
        <v>5924732.2999999998</v>
      </c>
      <c r="W58" s="42">
        <f>'FY 2009 Exp 01-15-10'!C11</f>
        <v>13483773</v>
      </c>
      <c r="X58" s="42">
        <f>SUM('FY 2009 Exp 01-15-10'!F11:K11)</f>
        <v>11711630.540000001</v>
      </c>
      <c r="Y58" s="41">
        <f t="shared" si="21"/>
        <v>0.86857221194690837</v>
      </c>
      <c r="Z58" s="42">
        <f>'FY 2009 Exp 01-15-10'!D11</f>
        <v>25988724</v>
      </c>
      <c r="AA58" s="41">
        <f t="shared" si="22"/>
        <v>0.45064276876386855</v>
      </c>
      <c r="AB58" s="42">
        <f t="shared" si="23"/>
        <v>1772142.459999999</v>
      </c>
      <c r="AC58" s="42">
        <f>'FY 2008 Exp 01-15-10'!C11</f>
        <v>13190056</v>
      </c>
      <c r="AD58" s="42">
        <f>SUM('FY 2008 Exp 01-15-10'!F11:K11)</f>
        <v>10805359.48</v>
      </c>
      <c r="AE58" s="41">
        <f t="shared" si="24"/>
        <v>0.81920497380754109</v>
      </c>
      <c r="AF58" s="42">
        <f>'FY 2008 Exp 01-15-10'!D11</f>
        <v>40957636</v>
      </c>
      <c r="AG58" s="41">
        <f t="shared" si="25"/>
        <v>0.26381794789132851</v>
      </c>
      <c r="AH58" s="13">
        <f t="shared" si="26"/>
        <v>2384696.5199999996</v>
      </c>
    </row>
    <row r="59" spans="1:34" ht="15.75" customHeight="1">
      <c r="A59" s="135" t="s">
        <v>34</v>
      </c>
      <c r="B59" s="136"/>
      <c r="C59" s="88">
        <f t="shared" si="27"/>
        <v>63810544</v>
      </c>
      <c r="D59" s="88">
        <f t="shared" si="27"/>
        <v>34442234.340000004</v>
      </c>
      <c r="E59" s="12">
        <f t="shared" si="11"/>
        <v>0.53975772938089983</v>
      </c>
      <c r="F59" s="22">
        <f t="shared" si="16"/>
        <v>-2536962.3400000036</v>
      </c>
      <c r="G59" s="23">
        <f t="shared" si="17"/>
        <v>31905272</v>
      </c>
      <c r="H59" s="25">
        <f t="shared" si="12"/>
        <v>29368309.659999996</v>
      </c>
      <c r="I59" s="1">
        <v>0.5</v>
      </c>
      <c r="J59" s="35" t="s">
        <v>34</v>
      </c>
      <c r="K59" s="83">
        <v>63810544</v>
      </c>
      <c r="L59" s="86">
        <v>34442234.340000004</v>
      </c>
      <c r="M59" s="41">
        <f t="shared" si="13"/>
        <v>0.53975772938089983</v>
      </c>
      <c r="N59" s="42">
        <f t="shared" si="18"/>
        <v>29368309.659999996</v>
      </c>
      <c r="O59" s="83">
        <v>65349602</v>
      </c>
      <c r="P59" s="86">
        <v>33346743</v>
      </c>
      <c r="Q59" s="41">
        <f t="shared" si="14"/>
        <v>0.51028226614142191</v>
      </c>
      <c r="R59" s="42">
        <f t="shared" si="19"/>
        <v>32002859</v>
      </c>
      <c r="S59" s="42">
        <v>65544767</v>
      </c>
      <c r="T59" s="42">
        <v>35211365.259999998</v>
      </c>
      <c r="U59" s="41">
        <f t="shared" si="15"/>
        <v>0.53721093035543166</v>
      </c>
      <c r="V59" s="42">
        <f t="shared" si="20"/>
        <v>30333401.740000002</v>
      </c>
      <c r="W59" s="42">
        <f>'FY 2009 Exp 01-15-10'!C12</f>
        <v>65608655</v>
      </c>
      <c r="X59" s="42">
        <f>SUM('FY 2009 Exp 01-15-10'!F12:K12)</f>
        <v>32566145.509999998</v>
      </c>
      <c r="Y59" s="41">
        <f t="shared" si="21"/>
        <v>0.49636965595469068</v>
      </c>
      <c r="Z59" s="42">
        <f>'FY 2009 Exp 01-15-10'!D12</f>
        <v>58058647</v>
      </c>
      <c r="AA59" s="41">
        <f t="shared" si="22"/>
        <v>0.56091809218358113</v>
      </c>
      <c r="AB59" s="42">
        <f t="shared" si="23"/>
        <v>33042509.490000002</v>
      </c>
      <c r="AC59" s="42">
        <f>'FY 2008 Exp 01-15-10'!C12</f>
        <v>64075535</v>
      </c>
      <c r="AD59" s="42">
        <f>SUM('FY 2008 Exp 01-15-10'!F12:K12)</f>
        <v>32507374.360000003</v>
      </c>
      <c r="AE59" s="41">
        <f t="shared" si="24"/>
        <v>0.50732895730016148</v>
      </c>
      <c r="AF59" s="42">
        <f>'FY 2008 Exp 01-15-10'!D12</f>
        <v>57996969</v>
      </c>
      <c r="AG59" s="41">
        <f t="shared" si="25"/>
        <v>0.56050126274702394</v>
      </c>
      <c r="AH59" s="13">
        <f t="shared" si="26"/>
        <v>31568160.639999997</v>
      </c>
    </row>
    <row r="60" spans="1:34" ht="15.75" customHeight="1">
      <c r="A60" s="135" t="s">
        <v>132</v>
      </c>
      <c r="B60" s="136"/>
      <c r="C60" s="88">
        <f t="shared" si="27"/>
        <v>19894693</v>
      </c>
      <c r="D60" s="88">
        <f t="shared" si="27"/>
        <v>12082938.189999999</v>
      </c>
      <c r="E60" s="12">
        <f t="shared" si="11"/>
        <v>0.60734479240267736</v>
      </c>
      <c r="F60" s="22">
        <f t="shared" si="16"/>
        <v>-2135591.6899999995</v>
      </c>
      <c r="G60" s="23">
        <f t="shared" si="17"/>
        <v>9947346.5</v>
      </c>
      <c r="H60" s="25">
        <f t="shared" si="12"/>
        <v>7811754.8100000005</v>
      </c>
      <c r="I60" s="1">
        <v>0.5</v>
      </c>
      <c r="J60" s="35" t="s">
        <v>132</v>
      </c>
      <c r="K60" s="83">
        <v>19894693</v>
      </c>
      <c r="L60" s="86">
        <v>12082938.189999999</v>
      </c>
      <c r="M60" s="41">
        <f t="shared" si="13"/>
        <v>0.60734479240267736</v>
      </c>
      <c r="N60" s="42">
        <f t="shared" si="18"/>
        <v>7811754.8100000005</v>
      </c>
      <c r="O60" s="83">
        <v>19688923</v>
      </c>
      <c r="P60" s="86">
        <v>29414617</v>
      </c>
      <c r="Q60" s="41">
        <f t="shared" si="14"/>
        <v>1.4939678010828727</v>
      </c>
      <c r="R60" s="42">
        <f t="shared" si="19"/>
        <v>-9725694</v>
      </c>
      <c r="S60" s="42">
        <v>19347332</v>
      </c>
      <c r="T60" s="42">
        <v>33195586.399999999</v>
      </c>
      <c r="U60" s="41">
        <f t="shared" si="15"/>
        <v>1.7157707533007651</v>
      </c>
      <c r="V60" s="42">
        <f t="shared" si="20"/>
        <v>-13848254.399999999</v>
      </c>
      <c r="W60" s="42">
        <f>'FY 2009 Exp 01-15-10'!C13</f>
        <v>19861346</v>
      </c>
      <c r="X60" s="42">
        <f>SUM('FY 2009 Exp 01-15-10'!F13:K13)</f>
        <v>23470164.149999999</v>
      </c>
      <c r="Y60" s="41">
        <f t="shared" si="21"/>
        <v>1.1817005831326839</v>
      </c>
      <c r="Z60" s="42">
        <f>'FY 2009 Exp 01-15-10'!D13</f>
        <v>38533167</v>
      </c>
      <c r="AA60" s="41">
        <f t="shared" si="22"/>
        <v>0.60908993413388524</v>
      </c>
      <c r="AB60" s="42">
        <f t="shared" si="23"/>
        <v>-3608818.1499999985</v>
      </c>
      <c r="AC60" s="42">
        <f>'FY 2008 Exp 01-15-10'!C13</f>
        <v>17022879</v>
      </c>
      <c r="AD60" s="42">
        <f>SUM('FY 2008 Exp 01-15-10'!F13:K13)</f>
        <v>25684205.489999998</v>
      </c>
      <c r="AE60" s="41">
        <f t="shared" si="24"/>
        <v>1.508805031745805</v>
      </c>
      <c r="AF60" s="42">
        <f>'FY 2008 Exp 01-15-10'!D13</f>
        <v>37697948</v>
      </c>
      <c r="AG60" s="41">
        <f t="shared" si="25"/>
        <v>0.68131574402935668</v>
      </c>
      <c r="AH60" s="13">
        <f t="shared" si="26"/>
        <v>-8661326.4899999984</v>
      </c>
    </row>
    <row r="61" spans="1:34" ht="15.75" customHeight="1" thickBot="1">
      <c r="A61" s="135" t="s">
        <v>35</v>
      </c>
      <c r="B61" s="136"/>
      <c r="C61" s="88">
        <f t="shared" si="27"/>
        <v>27624277</v>
      </c>
      <c r="D61" s="88">
        <f t="shared" si="27"/>
        <v>19537289.239999998</v>
      </c>
      <c r="E61" s="12">
        <f t="shared" si="11"/>
        <v>0.70725069981017052</v>
      </c>
      <c r="F61" s="22">
        <f t="shared" si="16"/>
        <v>-5725150.7399999984</v>
      </c>
      <c r="G61" s="23">
        <f t="shared" si="17"/>
        <v>13812138.5</v>
      </c>
      <c r="H61" s="25">
        <f t="shared" si="12"/>
        <v>8086987.7600000016</v>
      </c>
      <c r="I61" s="1">
        <v>0.5</v>
      </c>
      <c r="J61" s="35" t="s">
        <v>35</v>
      </c>
      <c r="K61" s="84">
        <v>27624277</v>
      </c>
      <c r="L61" s="87">
        <v>19537289.239999998</v>
      </c>
      <c r="M61" s="38">
        <f t="shared" si="13"/>
        <v>0.70725069981017052</v>
      </c>
      <c r="N61" s="44">
        <f t="shared" si="18"/>
        <v>8086987.7600000016</v>
      </c>
      <c r="O61" s="84">
        <v>28150079</v>
      </c>
      <c r="P61" s="87">
        <v>42044479</v>
      </c>
      <c r="Q61" s="38">
        <f t="shared" si="14"/>
        <v>1.4935829842608968</v>
      </c>
      <c r="R61" s="44">
        <f t="shared" si="19"/>
        <v>-13894400</v>
      </c>
      <c r="S61" s="44">
        <v>26609348</v>
      </c>
      <c r="T61" s="44">
        <v>18116148.25</v>
      </c>
      <c r="U61" s="38">
        <f t="shared" si="15"/>
        <v>0.68081894565774403</v>
      </c>
      <c r="V61" s="44">
        <f t="shared" si="20"/>
        <v>8493199.75</v>
      </c>
      <c r="W61" s="44">
        <f>'FY 2009 Exp 01-15-10'!C14</f>
        <v>27673796</v>
      </c>
      <c r="X61" s="44">
        <f>SUM('FY 2009 Exp 01-15-10'!F14:K14)</f>
        <v>18356153.68</v>
      </c>
      <c r="Y61" s="38">
        <f t="shared" si="21"/>
        <v>0.66330450943556862</v>
      </c>
      <c r="Z61" s="44">
        <f>'FY 2009 Exp 01-15-10'!D14</f>
        <v>70249042</v>
      </c>
      <c r="AA61" s="38">
        <f t="shared" si="22"/>
        <v>0.26130112464736527</v>
      </c>
      <c r="AB61" s="44">
        <f t="shared" si="23"/>
        <v>9317642.3200000003</v>
      </c>
      <c r="AC61" s="44">
        <f>'FY 2008 Exp 01-15-10'!C14</f>
        <v>25864446</v>
      </c>
      <c r="AD61" s="44">
        <f>SUM('FY 2008 Exp 01-15-10'!F14:K14)</f>
        <v>16402000.040000001</v>
      </c>
      <c r="AE61" s="38">
        <f t="shared" si="24"/>
        <v>0.634152381999599</v>
      </c>
      <c r="AF61" s="44">
        <f>'FY 2008 Exp 01-15-10'!D14</f>
        <v>40216702</v>
      </c>
      <c r="AG61" s="38">
        <f t="shared" si="25"/>
        <v>0.40784050467390393</v>
      </c>
      <c r="AH61" s="45">
        <f t="shared" si="26"/>
        <v>9462445.959999999</v>
      </c>
    </row>
    <row r="62" spans="1:34" ht="15.75" customHeight="1" thickBot="1">
      <c r="A62" s="139" t="s">
        <v>28</v>
      </c>
      <c r="B62" s="140"/>
      <c r="C62" s="95">
        <f>SUM(C49:C61)</f>
        <v>264867593</v>
      </c>
      <c r="D62" s="95">
        <f>SUM(D49:D61)</f>
        <v>150111673.03</v>
      </c>
      <c r="E62" s="12">
        <f t="shared" si="11"/>
        <v>0.56674231577284728</v>
      </c>
      <c r="F62" s="97">
        <f t="shared" si="16"/>
        <v>-17677876.530000001</v>
      </c>
      <c r="G62" s="23">
        <f t="shared" si="17"/>
        <v>132433796.5</v>
      </c>
      <c r="J62" s="30"/>
      <c r="K62" s="43">
        <f>SUM(K49:K61)</f>
        <v>264867593</v>
      </c>
      <c r="L62" s="43">
        <f>SUM(L49:L61)</f>
        <v>150111673.03</v>
      </c>
      <c r="M62" s="39">
        <f t="shared" si="13"/>
        <v>0.56674231577284728</v>
      </c>
      <c r="N62" s="43">
        <f>SUM(N49:N61)</f>
        <v>114755919.97</v>
      </c>
      <c r="O62" s="43">
        <f>SUM(O49:O61)</f>
        <v>271926181</v>
      </c>
      <c r="P62" s="43">
        <f>SUM(P49:P61)</f>
        <v>207351100</v>
      </c>
      <c r="Q62" s="39">
        <f t="shared" si="14"/>
        <v>0.76252716541479326</v>
      </c>
      <c r="R62" s="43">
        <f>SUM(R49:R61)</f>
        <v>64575081</v>
      </c>
      <c r="S62" s="43">
        <f>SUM(S49:S61)</f>
        <v>270182156</v>
      </c>
      <c r="T62" s="43">
        <f>SUM(T49:T61)</f>
        <v>180025833.49000001</v>
      </c>
      <c r="U62" s="39">
        <f t="shared" si="15"/>
        <v>0.66631281708330137</v>
      </c>
      <c r="V62" s="43">
        <f>SUM(V49:V61)</f>
        <v>90156322.50999999</v>
      </c>
      <c r="W62" s="43">
        <f t="shared" ref="W62:AH62" si="28">SUM(W49:W61)</f>
        <v>269482206</v>
      </c>
      <c r="X62" s="43">
        <f t="shared" si="28"/>
        <v>166184737.33000001</v>
      </c>
      <c r="Y62" s="39">
        <f t="shared" si="21"/>
        <v>0.6166816718503485</v>
      </c>
      <c r="Z62" s="43">
        <f t="shared" si="28"/>
        <v>345653526</v>
      </c>
      <c r="AA62" s="39">
        <f t="shared" si="22"/>
        <v>0.48078415184458445</v>
      </c>
      <c r="AB62" s="43">
        <f t="shared" si="28"/>
        <v>103297468.66999999</v>
      </c>
      <c r="AC62" s="43">
        <f t="shared" si="28"/>
        <v>255607673</v>
      </c>
      <c r="AD62" s="43">
        <f t="shared" si="28"/>
        <v>156234673.19999999</v>
      </c>
      <c r="AE62" s="39">
        <f t="shared" si="24"/>
        <v>0.61122841644898507</v>
      </c>
      <c r="AF62" s="43">
        <f t="shared" si="28"/>
        <v>322179771</v>
      </c>
      <c r="AG62" s="39">
        <f t="shared" si="25"/>
        <v>0.48493011437394057</v>
      </c>
      <c r="AH62" s="43">
        <f t="shared" si="28"/>
        <v>99372999.799999997</v>
      </c>
    </row>
    <row r="63" spans="1:34" ht="13.5" thickTop="1">
      <c r="J63" s="79"/>
    </row>
    <row r="64" spans="1:34">
      <c r="J64" s="79"/>
    </row>
    <row r="65" spans="10:10">
      <c r="J65" s="79"/>
    </row>
    <row r="66" spans="10:10">
      <c r="J66" s="79"/>
    </row>
    <row r="67" spans="10:10">
      <c r="J67" s="79"/>
    </row>
    <row r="68" spans="10:10">
      <c r="J68" s="79"/>
    </row>
    <row r="69" spans="10:10">
      <c r="J69" s="79"/>
    </row>
    <row r="70" spans="10:10">
      <c r="J70" s="79"/>
    </row>
    <row r="71" spans="10:10">
      <c r="J71" s="79"/>
    </row>
    <row r="72" spans="10:10">
      <c r="J72" s="79"/>
    </row>
    <row r="73" spans="10:10">
      <c r="J73" s="79"/>
    </row>
    <row r="74" spans="10:10">
      <c r="J74" s="79"/>
    </row>
    <row r="75" spans="10:10">
      <c r="J75" s="79"/>
    </row>
    <row r="76" spans="10:10">
      <c r="J76" s="80"/>
    </row>
    <row r="77" spans="10:10">
      <c r="J77" s="81"/>
    </row>
  </sheetData>
  <mergeCells count="28">
    <mergeCell ref="A59:B59"/>
    <mergeCell ref="A60:B60"/>
    <mergeCell ref="A61:B61"/>
    <mergeCell ref="A62:B62"/>
    <mergeCell ref="A53:B53"/>
    <mergeCell ref="A54:B54"/>
    <mergeCell ref="A55:B55"/>
    <mergeCell ref="A56:B56"/>
    <mergeCell ref="A57:B57"/>
    <mergeCell ref="A58:B58"/>
    <mergeCell ref="A52:B52"/>
    <mergeCell ref="A19:B19"/>
    <mergeCell ref="A20:B20"/>
    <mergeCell ref="A21:B21"/>
    <mergeCell ref="A22:B22"/>
    <mergeCell ref="A23:B23"/>
    <mergeCell ref="A24:B24"/>
    <mergeCell ref="A46:F46"/>
    <mergeCell ref="A48:B48"/>
    <mergeCell ref="A49:B49"/>
    <mergeCell ref="A50:B50"/>
    <mergeCell ref="A51:B51"/>
    <mergeCell ref="A18:B18"/>
    <mergeCell ref="B3:D3"/>
    <mergeCell ref="A13:F13"/>
    <mergeCell ref="A14:F14"/>
    <mergeCell ref="A16:B16"/>
    <mergeCell ref="A17:B17"/>
  </mergeCells>
  <printOptions horizontalCentered="1"/>
  <pageMargins left="0.5" right="0.5" top="0.5" bottom="0.5" header="0.5" footer="0.5"/>
  <pageSetup orientation="portrait" r:id="rId1"/>
  <headerFooter alignWithMargins="0"/>
  <rowBreaks count="1" manualBreakCount="1">
    <brk id="8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7"/>
  <sheetViews>
    <sheetView zoomScaleNormal="100" workbookViewId="0">
      <selection activeCell="G66" sqref="G66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7.125" style="2" bestFit="1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4" style="2" bestFit="1" customWidth="1"/>
    <col min="12" max="12" width="13.125" style="2" bestFit="1" customWidth="1"/>
    <col min="13" max="13" width="10.25" style="2" customWidth="1"/>
    <col min="14" max="14" width="11.5" style="2" customWidth="1"/>
    <col min="15" max="15" width="11.875" style="2" customWidth="1"/>
    <col min="16" max="16" width="13.25" style="2" bestFit="1" customWidth="1"/>
    <col min="17" max="17" width="12.125" style="2" customWidth="1"/>
    <col min="18" max="18" width="12.5" style="2" bestFit="1" customWidth="1"/>
    <col min="19" max="19" width="13" style="2" customWidth="1"/>
    <col min="20" max="20" width="12.5" style="2" bestFit="1" customWidth="1"/>
    <col min="21" max="21" width="11.125" style="2" bestFit="1" customWidth="1"/>
    <col min="22" max="22" width="11.25" style="2" customWidth="1"/>
    <col min="23" max="23" width="12.625" style="2" customWidth="1"/>
    <col min="24" max="24" width="11.125" style="2" bestFit="1" customWidth="1"/>
    <col min="25" max="25" width="10.75" style="2" customWidth="1"/>
    <col min="26" max="26" width="12.5" style="2" bestFit="1" customWidth="1"/>
    <col min="27" max="27" width="10.375" style="2" customWidth="1"/>
    <col min="28" max="28" width="11.375" style="2" customWidth="1"/>
    <col min="29" max="29" width="11.75" style="2" customWidth="1"/>
    <col min="30" max="30" width="13" style="2" customWidth="1"/>
    <col min="31" max="31" width="9" style="2"/>
    <col min="32" max="32" width="11.125" style="2" customWidth="1"/>
    <col min="33" max="33" width="9" style="2"/>
    <col min="34" max="34" width="12.875" style="2" customWidth="1"/>
    <col min="35" max="16384" width="9" style="2"/>
  </cols>
  <sheetData>
    <row r="1" spans="1:29" ht="15.95" customHeight="1">
      <c r="E1" s="3"/>
      <c r="F1" s="3" t="s">
        <v>23</v>
      </c>
    </row>
    <row r="2" spans="1:29" ht="15.95" customHeight="1">
      <c r="E2" s="3"/>
      <c r="F2" s="3" t="s">
        <v>52</v>
      </c>
    </row>
    <row r="3" spans="1:29" ht="15.95" customHeight="1">
      <c r="B3" s="127" t="s">
        <v>41</v>
      </c>
      <c r="C3" s="127"/>
      <c r="D3" s="127"/>
      <c r="E3" s="3"/>
      <c r="F3" s="3" t="s">
        <v>53</v>
      </c>
    </row>
    <row r="4" spans="1:29" ht="15.95" customHeight="1">
      <c r="E4" s="3"/>
      <c r="F4" s="3" t="s">
        <v>54</v>
      </c>
    </row>
    <row r="5" spans="1:29" ht="15.95" customHeight="1">
      <c r="E5" s="3"/>
      <c r="F5" s="3" t="s">
        <v>24</v>
      </c>
    </row>
    <row r="6" spans="1:29" ht="15.75">
      <c r="A6" s="4"/>
      <c r="B6" s="4"/>
      <c r="C6" s="4"/>
      <c r="D6" s="5"/>
      <c r="E6" s="5"/>
      <c r="F6" s="4"/>
    </row>
    <row r="7" spans="1:29" ht="15.75">
      <c r="D7" s="3"/>
      <c r="E7" s="3"/>
    </row>
    <row r="8" spans="1:29" ht="19.5" customHeight="1">
      <c r="A8" s="6" t="s">
        <v>36</v>
      </c>
      <c r="B8" s="7" t="s">
        <v>37</v>
      </c>
    </row>
    <row r="9" spans="1:29" ht="19.5" customHeight="1">
      <c r="A9" s="6" t="s">
        <v>38</v>
      </c>
      <c r="B9" s="7" t="s">
        <v>93</v>
      </c>
    </row>
    <row r="10" spans="1:29" ht="19.5" customHeight="1">
      <c r="A10" s="6" t="s">
        <v>39</v>
      </c>
      <c r="B10" s="8">
        <v>40923</v>
      </c>
    </row>
    <row r="11" spans="1:29" ht="19.5" customHeight="1">
      <c r="A11" s="6" t="s">
        <v>40</v>
      </c>
      <c r="B11" s="7" t="s">
        <v>198</v>
      </c>
    </row>
    <row r="12" spans="1:29" ht="19.5" customHeight="1">
      <c r="A12" s="6"/>
      <c r="B12" s="7"/>
    </row>
    <row r="13" spans="1:29" ht="50.1" customHeight="1">
      <c r="A13" s="132"/>
      <c r="B13" s="132"/>
      <c r="C13" s="132"/>
      <c r="D13" s="132"/>
      <c r="E13" s="132"/>
      <c r="F13" s="132"/>
    </row>
    <row r="14" spans="1:29" ht="31.5" customHeight="1">
      <c r="A14" s="133" t="s">
        <v>172</v>
      </c>
      <c r="B14" s="133"/>
      <c r="C14" s="133"/>
      <c r="D14" s="133"/>
      <c r="E14" s="133"/>
      <c r="F14" s="133"/>
    </row>
    <row r="15" spans="1:29">
      <c r="K15" s="34"/>
      <c r="L15" s="34"/>
      <c r="M15" s="34"/>
      <c r="N15" s="34"/>
    </row>
    <row r="16" spans="1:29" ht="38.25">
      <c r="A16" s="134"/>
      <c r="B16" s="134"/>
      <c r="C16" s="9" t="s">
        <v>196</v>
      </c>
      <c r="D16" s="9" t="s">
        <v>199</v>
      </c>
      <c r="E16" s="9" t="s">
        <v>25</v>
      </c>
      <c r="F16" s="9" t="s">
        <v>13</v>
      </c>
      <c r="G16" s="10">
        <v>0.25</v>
      </c>
      <c r="H16" s="2" t="s">
        <v>42</v>
      </c>
      <c r="I16" s="10">
        <v>0.25</v>
      </c>
      <c r="K16" s="9" t="s">
        <v>196</v>
      </c>
      <c r="L16" s="9" t="s">
        <v>197</v>
      </c>
      <c r="M16" s="9">
        <v>2012</v>
      </c>
      <c r="N16" s="9" t="s">
        <v>151</v>
      </c>
      <c r="O16" s="9" t="s">
        <v>195</v>
      </c>
      <c r="P16" s="9" t="s">
        <v>192</v>
      </c>
      <c r="Q16" s="9">
        <v>2011</v>
      </c>
      <c r="R16" s="9" t="s">
        <v>94</v>
      </c>
      <c r="S16" s="9" t="s">
        <v>194</v>
      </c>
      <c r="T16" s="9" t="s">
        <v>193</v>
      </c>
      <c r="U16" s="9">
        <v>2010</v>
      </c>
      <c r="V16" s="9" t="s">
        <v>1</v>
      </c>
      <c r="W16" s="9" t="s">
        <v>103</v>
      </c>
      <c r="X16" s="9" t="s">
        <v>106</v>
      </c>
      <c r="Y16" s="9">
        <v>2009</v>
      </c>
      <c r="Z16" s="9" t="s">
        <v>104</v>
      </c>
      <c r="AA16" s="9" t="s">
        <v>105</v>
      </c>
      <c r="AB16" s="9" t="s">
        <v>107</v>
      </c>
      <c r="AC16" s="9">
        <v>2008</v>
      </c>
    </row>
    <row r="17" spans="1:29" ht="15.75" customHeight="1">
      <c r="A17" s="131" t="s">
        <v>26</v>
      </c>
      <c r="B17" s="131"/>
      <c r="C17" s="89">
        <f t="shared" ref="C17:D23" si="0">K17</f>
        <v>172920521</v>
      </c>
      <c r="D17" s="89">
        <f t="shared" si="0"/>
        <v>76278656</v>
      </c>
      <c r="E17" s="12">
        <f t="shared" ref="E17:E24" si="1">(D17/C17)</f>
        <v>0.44111974425522349</v>
      </c>
      <c r="F17" s="96">
        <f t="shared" ref="F17:F23" si="2">D17-G17</f>
        <v>33048525.75</v>
      </c>
      <c r="G17" s="14">
        <f>C17*0.25</f>
        <v>43230130.25</v>
      </c>
      <c r="H17" s="15">
        <f t="shared" ref="H17:H23" si="3">C17-D17</f>
        <v>96641865</v>
      </c>
      <c r="I17" s="10">
        <v>0.25</v>
      </c>
      <c r="J17" s="21" t="str">
        <f>A17</f>
        <v>Current / Delinquent Taxes</v>
      </c>
      <c r="K17" s="82">
        <v>172920521</v>
      </c>
      <c r="L17" s="82">
        <v>76278656</v>
      </c>
      <c r="M17" s="41">
        <f>L17/K17</f>
        <v>0.44111974425522349</v>
      </c>
      <c r="N17" s="82">
        <v>170741229</v>
      </c>
      <c r="O17" s="82">
        <v>96940992</v>
      </c>
      <c r="P17" s="82">
        <v>171396885</v>
      </c>
      <c r="Q17" s="41">
        <f>(O17/P17)</f>
        <v>0.56559366291866975</v>
      </c>
      <c r="R17" s="11">
        <v>175930506</v>
      </c>
      <c r="S17" s="11">
        <v>94795716.219999999</v>
      </c>
      <c r="T17" s="11">
        <v>175482441</v>
      </c>
      <c r="U17" s="12">
        <f>(S17/T17)</f>
        <v>0.54020057892857776</v>
      </c>
      <c r="V17" s="11">
        <f>'FY 2009 Rev 01-15-10'!E3</f>
        <v>173590951</v>
      </c>
      <c r="W17" s="11">
        <f>SUM('FY 2009 Rev 01-15-10'!F3:H3)</f>
        <v>77611972.549999997</v>
      </c>
      <c r="X17" s="11">
        <v>174855279</v>
      </c>
      <c r="Y17" s="12">
        <f t="shared" ref="Y17:Y24" si="4">W17/X17</f>
        <v>0.44386405142506447</v>
      </c>
      <c r="Z17" s="11">
        <v>171068428</v>
      </c>
      <c r="AA17" s="11">
        <f>SUM('FY 2008 Rev 01-15-10'!F3:H3)</f>
        <v>76794079.36999999</v>
      </c>
      <c r="AB17" s="11">
        <v>171033213</v>
      </c>
      <c r="AC17" s="12">
        <f t="shared" ref="AC17:AC24" si="5">AA17/AB17</f>
        <v>0.44900097485743889</v>
      </c>
    </row>
    <row r="18" spans="1:29" ht="15.75" customHeight="1">
      <c r="A18" s="131" t="s">
        <v>95</v>
      </c>
      <c r="B18" s="131"/>
      <c r="C18" s="16">
        <f t="shared" si="0"/>
        <v>280300</v>
      </c>
      <c r="D18" s="16">
        <f t="shared" si="0"/>
        <v>63801</v>
      </c>
      <c r="E18" s="12">
        <f>(D18/C18)</f>
        <v>0.22761683910096325</v>
      </c>
      <c r="F18" s="22">
        <f>D18-G18</f>
        <v>-6274</v>
      </c>
      <c r="G18" s="14">
        <f>C18*0.25</f>
        <v>70075</v>
      </c>
      <c r="H18" s="15">
        <f t="shared" si="3"/>
        <v>216499</v>
      </c>
      <c r="I18" s="10">
        <v>0.25</v>
      </c>
      <c r="J18" s="21" t="str">
        <f t="shared" ref="J18:J23" si="6">A18</f>
        <v>License / Permits</v>
      </c>
      <c r="K18" s="83">
        <v>280300</v>
      </c>
      <c r="L18" s="83">
        <v>63801</v>
      </c>
      <c r="M18" s="41">
        <f t="shared" ref="M18:M23" si="7">L18/K18</f>
        <v>0.22761683910096325</v>
      </c>
      <c r="N18" s="83">
        <v>246000</v>
      </c>
      <c r="O18" s="83">
        <f>1500+80024</f>
        <v>81524</v>
      </c>
      <c r="P18" s="83">
        <v>315483</v>
      </c>
      <c r="Q18" s="41">
        <f t="shared" ref="Q18:Q24" si="8">(O18/P18)</f>
        <v>0.258410120355138</v>
      </c>
      <c r="R18" s="16">
        <v>335854</v>
      </c>
      <c r="S18" s="28">
        <v>75982</v>
      </c>
      <c r="T18" s="28">
        <v>255670</v>
      </c>
      <c r="U18" s="12">
        <f t="shared" ref="U18:U24" si="9">(S18/T18)</f>
        <v>0.29718778112410527</v>
      </c>
      <c r="V18" s="28">
        <f>'FY 2009 Rev 01-15-10'!E6</f>
        <v>650650</v>
      </c>
      <c r="W18" s="28">
        <f>SUM('FY 2009 Rev 01-15-10'!F6:H6)</f>
        <v>81362.3</v>
      </c>
      <c r="X18" s="28">
        <f>'FY 2009 Rev 01-15-10'!D6</f>
        <v>283457.14</v>
      </c>
      <c r="Y18" s="12">
        <f t="shared" si="4"/>
        <v>0.28703563438197394</v>
      </c>
      <c r="Z18" s="28">
        <v>826700</v>
      </c>
      <c r="AA18" s="28">
        <f>SUM('FY 2008 Rev 01-15-10'!F6:H6)</f>
        <v>150741</v>
      </c>
      <c r="AB18" s="28">
        <v>653857</v>
      </c>
      <c r="AC18" s="12">
        <f t="shared" si="5"/>
        <v>0.23054123455128567</v>
      </c>
    </row>
    <row r="19" spans="1:29" ht="15.75" customHeight="1">
      <c r="A19" s="131" t="s">
        <v>51</v>
      </c>
      <c r="B19" s="131"/>
      <c r="C19" s="16">
        <f t="shared" si="0"/>
        <v>9897851</v>
      </c>
      <c r="D19" s="16">
        <f t="shared" si="0"/>
        <v>3611905</v>
      </c>
      <c r="E19" s="12">
        <f t="shared" si="1"/>
        <v>0.36491810191929541</v>
      </c>
      <c r="F19" s="22">
        <f t="shared" si="2"/>
        <v>1137442.25</v>
      </c>
      <c r="G19" s="27">
        <f t="shared" ref="G19:G24" si="10">C19*0.25</f>
        <v>2474462.75</v>
      </c>
      <c r="H19" s="27">
        <f t="shared" si="3"/>
        <v>6285946</v>
      </c>
      <c r="I19" s="10">
        <v>0.25</v>
      </c>
      <c r="J19" s="21" t="str">
        <f t="shared" si="6"/>
        <v>Intergovernmental Revenue</v>
      </c>
      <c r="K19" s="83">
        <v>9897851</v>
      </c>
      <c r="L19" s="83">
        <v>3611905</v>
      </c>
      <c r="M19" s="41">
        <f t="shared" si="7"/>
        <v>0.36491810191929541</v>
      </c>
      <c r="N19" s="83">
        <v>10310296</v>
      </c>
      <c r="O19" s="83">
        <f>615688+1933269+2792824</f>
        <v>5341781</v>
      </c>
      <c r="P19" s="83">
        <v>20939933</v>
      </c>
      <c r="Q19" s="41">
        <f t="shared" si="8"/>
        <v>0.25510019540177137</v>
      </c>
      <c r="R19" s="16">
        <v>10763558</v>
      </c>
      <c r="S19" s="28">
        <v>2323691.9299999997</v>
      </c>
      <c r="T19" s="28">
        <v>17592701</v>
      </c>
      <c r="U19" s="12">
        <f t="shared" si="9"/>
        <v>0.13208272737654098</v>
      </c>
      <c r="V19" s="28">
        <f>'FY 2009 Rev 01-15-10'!E13</f>
        <v>9723482</v>
      </c>
      <c r="W19" s="28">
        <f>SUM('FY 2009 Rev 01-15-10'!F13:H13)</f>
        <v>5214766.1399999997</v>
      </c>
      <c r="X19" s="28">
        <v>18219983</v>
      </c>
      <c r="Y19" s="12">
        <f t="shared" si="4"/>
        <v>0.28621136144858089</v>
      </c>
      <c r="Z19" s="28">
        <v>14349223</v>
      </c>
      <c r="AA19" s="28">
        <f>SUM('FY 2008 Rev 01-15-10'!F12:H12)</f>
        <v>4225537.04</v>
      </c>
      <c r="AB19" s="28">
        <v>14374024</v>
      </c>
      <c r="AC19" s="12">
        <f t="shared" si="5"/>
        <v>0.29397036209206273</v>
      </c>
    </row>
    <row r="20" spans="1:29" ht="15.75" customHeight="1">
      <c r="A20" s="131" t="s">
        <v>2</v>
      </c>
      <c r="B20" s="131"/>
      <c r="C20" s="16">
        <f t="shared" si="0"/>
        <v>39758436</v>
      </c>
      <c r="D20" s="16">
        <f t="shared" si="0"/>
        <v>7272358</v>
      </c>
      <c r="E20" s="12">
        <f t="shared" si="1"/>
        <v>0.18291358342164163</v>
      </c>
      <c r="F20" s="22">
        <f t="shared" si="2"/>
        <v>-2667251</v>
      </c>
      <c r="G20" s="27">
        <f t="shared" si="10"/>
        <v>9939609</v>
      </c>
      <c r="H20" s="27">
        <f t="shared" si="3"/>
        <v>32486078</v>
      </c>
      <c r="I20" s="10">
        <v>0.25</v>
      </c>
      <c r="J20" s="21" t="str">
        <f t="shared" si="6"/>
        <v>Fees/Charges for Services</v>
      </c>
      <c r="K20" s="83">
        <v>39758436</v>
      </c>
      <c r="L20" s="83">
        <v>7272358</v>
      </c>
      <c r="M20" s="41">
        <f t="shared" si="7"/>
        <v>0.18291358342164163</v>
      </c>
      <c r="N20" s="83">
        <v>38925096</v>
      </c>
      <c r="O20" s="83">
        <f>1520268+1242902+1872813+9300+807916+1504308</f>
        <v>6957507</v>
      </c>
      <c r="P20" s="83">
        <v>38970040</v>
      </c>
      <c r="Q20" s="41">
        <f t="shared" si="8"/>
        <v>0.17853476670796334</v>
      </c>
      <c r="R20" s="16">
        <v>40351226</v>
      </c>
      <c r="S20" s="28">
        <v>7151642.0300000003</v>
      </c>
      <c r="T20" s="28">
        <v>37730335</v>
      </c>
      <c r="U20" s="12">
        <f t="shared" si="9"/>
        <v>0.18954621076118197</v>
      </c>
      <c r="V20" s="28">
        <f>'FY 2009 Rev 01-15-10'!E21</f>
        <v>38656872</v>
      </c>
      <c r="W20" s="28">
        <f>SUM('FY 2009 Rev 01-15-10'!F21:H21)</f>
        <v>6447635.6799999997</v>
      </c>
      <c r="X20" s="28">
        <v>38824924</v>
      </c>
      <c r="Y20" s="12">
        <f t="shared" si="4"/>
        <v>0.16606949906714563</v>
      </c>
      <c r="Z20" s="28">
        <v>34135331</v>
      </c>
      <c r="AA20" s="28">
        <f>SUM('FY 2008 Rev 01-15-10'!F20:H20)</f>
        <v>6752127.9000000004</v>
      </c>
      <c r="AB20" s="28">
        <v>39510792</v>
      </c>
      <c r="AC20" s="12">
        <f t="shared" si="5"/>
        <v>0.17089325620200174</v>
      </c>
    </row>
    <row r="21" spans="1:29" ht="15.75" customHeight="1">
      <c r="A21" s="131" t="s">
        <v>4</v>
      </c>
      <c r="B21" s="131"/>
      <c r="C21" s="16">
        <f t="shared" si="0"/>
        <v>3622500</v>
      </c>
      <c r="D21" s="16">
        <f t="shared" si="0"/>
        <v>543219</v>
      </c>
      <c r="E21" s="12">
        <f t="shared" si="1"/>
        <v>0.14995693581780539</v>
      </c>
      <c r="F21" s="22">
        <f t="shared" si="2"/>
        <v>-362406</v>
      </c>
      <c r="G21" s="27">
        <f t="shared" si="10"/>
        <v>905625</v>
      </c>
      <c r="H21" s="27">
        <f t="shared" si="3"/>
        <v>3079281</v>
      </c>
      <c r="I21" s="10">
        <v>0.25</v>
      </c>
      <c r="J21" s="21" t="str">
        <f t="shared" si="6"/>
        <v>Fines</v>
      </c>
      <c r="K21" s="83">
        <v>3622500</v>
      </c>
      <c r="L21" s="83">
        <v>543219</v>
      </c>
      <c r="M21" s="41">
        <f t="shared" si="7"/>
        <v>0.14995693581780539</v>
      </c>
      <c r="N21" s="83">
        <v>3814000</v>
      </c>
      <c r="O21" s="83">
        <v>671735</v>
      </c>
      <c r="P21" s="83">
        <v>3811745</v>
      </c>
      <c r="Q21" s="41">
        <f t="shared" si="8"/>
        <v>0.17622768574498032</v>
      </c>
      <c r="R21" s="16">
        <v>4596375</v>
      </c>
      <c r="S21" s="28">
        <v>903594.67</v>
      </c>
      <c r="T21" s="28">
        <v>3846674</v>
      </c>
      <c r="U21" s="12">
        <f t="shared" si="9"/>
        <v>0.2349028459391152</v>
      </c>
      <c r="V21" s="28">
        <f>'FY 2009 Rev 01-15-10'!E23</f>
        <v>4675500</v>
      </c>
      <c r="W21" s="28">
        <f>SUM('FY 2009 Rev 01-15-10'!F23:H23)</f>
        <v>1025229.77</v>
      </c>
      <c r="X21" s="28">
        <v>4484058</v>
      </c>
      <c r="Y21" s="12">
        <f t="shared" si="4"/>
        <v>0.22863882893575418</v>
      </c>
      <c r="Z21" s="28">
        <v>5009825</v>
      </c>
      <c r="AA21" s="28">
        <f>SUM('FY 2008 Rev 01-15-10'!F22:H22)</f>
        <v>794655.49</v>
      </c>
      <c r="AB21" s="28">
        <v>5028906</v>
      </c>
      <c r="AC21" s="12">
        <f t="shared" si="5"/>
        <v>0.15801756684256973</v>
      </c>
    </row>
    <row r="22" spans="1:29" ht="15.75" customHeight="1">
      <c r="A22" s="131" t="s">
        <v>3</v>
      </c>
      <c r="B22" s="131"/>
      <c r="C22" s="16">
        <f t="shared" si="0"/>
        <v>3963042</v>
      </c>
      <c r="D22" s="16">
        <f t="shared" si="0"/>
        <v>1182413</v>
      </c>
      <c r="E22" s="12">
        <f t="shared" si="1"/>
        <v>0.29835994672779143</v>
      </c>
      <c r="F22" s="22">
        <f t="shared" si="2"/>
        <v>191652.5</v>
      </c>
      <c r="G22" s="26">
        <f t="shared" si="10"/>
        <v>990760.5</v>
      </c>
      <c r="H22" s="27">
        <f t="shared" si="3"/>
        <v>2780629</v>
      </c>
      <c r="I22" s="10">
        <v>0.25</v>
      </c>
      <c r="J22" s="21" t="str">
        <f t="shared" si="6"/>
        <v>Investment Revenue</v>
      </c>
      <c r="K22" s="83">
        <v>3963042</v>
      </c>
      <c r="L22" s="83">
        <v>1182413</v>
      </c>
      <c r="M22" s="41">
        <f t="shared" si="7"/>
        <v>0.29835994672779143</v>
      </c>
      <c r="N22" s="83">
        <v>3023647</v>
      </c>
      <c r="O22" s="83">
        <f>876216+484108</f>
        <v>1360324</v>
      </c>
      <c r="P22" s="83">
        <v>4280332</v>
      </c>
      <c r="Q22" s="41">
        <f t="shared" si="8"/>
        <v>0.31780805787962241</v>
      </c>
      <c r="R22" s="16">
        <v>6218768</v>
      </c>
      <c r="S22" s="28">
        <v>1015713.26</v>
      </c>
      <c r="T22" s="28">
        <v>4363907</v>
      </c>
      <c r="U22" s="12">
        <f t="shared" si="9"/>
        <v>0.23275318653674335</v>
      </c>
      <c r="V22" s="28">
        <f>'FY 2009 Rev 01-15-10'!E26</f>
        <v>9130674</v>
      </c>
      <c r="W22" s="28">
        <f>SUM('FY 2009 Rev 01-15-10'!F26:H26)</f>
        <v>2446394.8199999998</v>
      </c>
      <c r="X22" s="28">
        <v>6645972</v>
      </c>
      <c r="Y22" s="12">
        <f t="shared" si="4"/>
        <v>0.36810188487101658</v>
      </c>
      <c r="Z22" s="28">
        <v>13003197</v>
      </c>
      <c r="AA22" s="28">
        <f>SUM('FY 2008 Rev 01-15-10'!F25:H25)</f>
        <v>4470038.26</v>
      </c>
      <c r="AB22" s="28">
        <v>12385827</v>
      </c>
      <c r="AC22" s="12">
        <f t="shared" si="5"/>
        <v>0.36089945871196166</v>
      </c>
    </row>
    <row r="23" spans="1:29" ht="15.75" customHeight="1" thickBot="1">
      <c r="A23" s="131" t="s">
        <v>27</v>
      </c>
      <c r="B23" s="131"/>
      <c r="C23" s="16">
        <f t="shared" si="0"/>
        <v>28888485</v>
      </c>
      <c r="D23" s="16">
        <f t="shared" si="0"/>
        <v>26848311</v>
      </c>
      <c r="E23" s="12">
        <f t="shared" si="1"/>
        <v>0.92937760495228461</v>
      </c>
      <c r="F23" s="22">
        <f t="shared" si="2"/>
        <v>19626189.75</v>
      </c>
      <c r="G23" s="27">
        <f t="shared" si="10"/>
        <v>7222121.25</v>
      </c>
      <c r="H23" s="27">
        <f t="shared" si="3"/>
        <v>2040174</v>
      </c>
      <c r="I23" s="10">
        <v>0.25</v>
      </c>
      <c r="J23" s="21" t="str">
        <f t="shared" si="6"/>
        <v>Miscellaneous</v>
      </c>
      <c r="K23" s="84">
        <f>18907985+895500+9085000</f>
        <v>28888485</v>
      </c>
      <c r="L23" s="84">
        <f>223816+9141215+17483280</f>
        <v>26848311</v>
      </c>
      <c r="M23" s="38">
        <f t="shared" si="7"/>
        <v>0.92937760495228461</v>
      </c>
      <c r="N23" s="84">
        <f>19311594+880940+9605000+10000</f>
        <v>29807534</v>
      </c>
      <c r="O23" s="84">
        <f>694341+336542+949541+7476+294469+48000+11178+25420561+3259200</f>
        <v>31021308</v>
      </c>
      <c r="P23" s="84">
        <f>23895082+1539427+37182911</f>
        <v>62617420</v>
      </c>
      <c r="Q23" s="38">
        <f t="shared" si="8"/>
        <v>0.49541019096602829</v>
      </c>
      <c r="R23" s="32">
        <f>19563765+980361+9265036</f>
        <v>29809162</v>
      </c>
      <c r="S23" s="33">
        <v>1952153.95</v>
      </c>
      <c r="T23" s="33">
        <f>23433323+1210790+10505556</f>
        <v>35149669</v>
      </c>
      <c r="U23" s="38">
        <f t="shared" si="9"/>
        <v>5.5538330958393944E-2</v>
      </c>
      <c r="V23" s="33">
        <f>'FY 2009 Rev 01-15-10'!E30+'FY 2009 Rev 01-15-10'!E36+'FY 2009 Rev 01-15-10'!E43</f>
        <v>27526735</v>
      </c>
      <c r="W23" s="33">
        <f>SUM('FY 2009 Rev 01-15-10'!F30:H30,'FY 2009 Rev 01-15-10'!F36:H36,'FY 2009 Rev 01-15-10'!F43:H43)</f>
        <v>4489312.3899999997</v>
      </c>
      <c r="X23" s="33">
        <f>21039243+2205778+66559129</f>
        <v>89804150</v>
      </c>
      <c r="Y23" s="38">
        <f t="shared" si="4"/>
        <v>4.9990032643257576E-2</v>
      </c>
      <c r="Z23" s="33">
        <f>16681375+864500+9409162</f>
        <v>26955037</v>
      </c>
      <c r="AA23" s="33">
        <f>SUM('FY 2008 Rev 01-15-10'!F29:H29,'FY 2008 Rev 01-15-10'!F35:H35,'FY 2008 Rev 01-15-10'!F41:H41)</f>
        <v>3588866.6100000003</v>
      </c>
      <c r="AB23" s="33">
        <f>21802800+2598162+31796434</f>
        <v>56197396</v>
      </c>
      <c r="AC23" s="38">
        <f t="shared" si="5"/>
        <v>6.3861795482481082E-2</v>
      </c>
    </row>
    <row r="24" spans="1:29" ht="15.75" customHeight="1" thickBot="1">
      <c r="A24" s="137" t="s">
        <v>28</v>
      </c>
      <c r="B24" s="137"/>
      <c r="C24" s="94">
        <f>SUM(C17:C23)</f>
        <v>259331135</v>
      </c>
      <c r="D24" s="94">
        <f>SUM(D17:D23)</f>
        <v>115800663</v>
      </c>
      <c r="E24" s="12">
        <f t="shared" si="1"/>
        <v>0.44653590476130062</v>
      </c>
      <c r="F24" s="98">
        <f>SUM(F17:F23)</f>
        <v>50967879.25</v>
      </c>
      <c r="G24" s="27">
        <f t="shared" si="10"/>
        <v>64832783.75</v>
      </c>
      <c r="H24" s="27"/>
      <c r="J24" s="21"/>
      <c r="K24" s="85">
        <f>SUM(K17:K23)</f>
        <v>259331135</v>
      </c>
      <c r="L24" s="85">
        <f>SUM(L17:L23)</f>
        <v>115800663</v>
      </c>
      <c r="M24" s="39">
        <f>(L24/K24)</f>
        <v>0.44653590476130062</v>
      </c>
      <c r="N24" s="85">
        <f>SUM(N17:N23)</f>
        <v>256867802</v>
      </c>
      <c r="O24" s="85">
        <f>SUM(O17:O23)</f>
        <v>142375171</v>
      </c>
      <c r="P24" s="85">
        <f>SUM(P17:P23)</f>
        <v>302331838</v>
      </c>
      <c r="Q24" s="39">
        <f t="shared" si="8"/>
        <v>0.4709235121972169</v>
      </c>
      <c r="R24" s="31">
        <f>SUM(R17:R23)</f>
        <v>268005449</v>
      </c>
      <c r="S24" s="31">
        <f>SUM(S17:S23)</f>
        <v>108218494.06000002</v>
      </c>
      <c r="T24" s="31">
        <f>SUM(T17:T23)</f>
        <v>274421397</v>
      </c>
      <c r="U24" s="39">
        <f t="shared" si="9"/>
        <v>0.39435151647449712</v>
      </c>
      <c r="V24" s="31">
        <f>SUM(V17:V23)</f>
        <v>263954864</v>
      </c>
      <c r="W24" s="31">
        <f>SUM(W17:W23)</f>
        <v>97316673.649999976</v>
      </c>
      <c r="X24" s="31">
        <f>SUM(X17:X23)</f>
        <v>333117823.13999999</v>
      </c>
      <c r="Y24" s="39">
        <f t="shared" si="4"/>
        <v>0.29213889768095819</v>
      </c>
      <c r="Z24" s="31">
        <f>SUM(Z17:Z23)</f>
        <v>265347741</v>
      </c>
      <c r="AA24" s="31">
        <f>SUM(AA17:AA23)</f>
        <v>96776045.670000002</v>
      </c>
      <c r="AB24" s="31">
        <f>SUM(AB17:AB23)</f>
        <v>299184015</v>
      </c>
      <c r="AC24" s="39">
        <f t="shared" si="5"/>
        <v>0.32346663196561487</v>
      </c>
    </row>
    <row r="25" spans="1:29" ht="22.5" customHeight="1" thickTop="1">
      <c r="J25" s="21"/>
      <c r="K25" s="26"/>
    </row>
    <row r="26" spans="1:29">
      <c r="J26" s="21"/>
      <c r="K26" s="26"/>
    </row>
    <row r="40" spans="1:34">
      <c r="J40" s="35"/>
      <c r="K40" s="35"/>
    </row>
    <row r="41" spans="1:34">
      <c r="J41" s="35"/>
      <c r="K41" s="35"/>
    </row>
    <row r="42" spans="1:34">
      <c r="J42" s="35"/>
      <c r="K42" s="35"/>
    </row>
    <row r="43" spans="1:34">
      <c r="J43" s="35"/>
      <c r="K43" s="35"/>
    </row>
    <row r="44" spans="1:34">
      <c r="J44" s="35"/>
      <c r="K44" s="35"/>
    </row>
    <row r="45" spans="1:34">
      <c r="J45" s="35"/>
      <c r="K45" s="35"/>
    </row>
    <row r="46" spans="1:34" ht="33" customHeight="1">
      <c r="A46" s="133" t="s">
        <v>173</v>
      </c>
      <c r="B46" s="133"/>
      <c r="C46" s="133"/>
      <c r="D46" s="133"/>
      <c r="E46" s="133"/>
      <c r="F46" s="133"/>
      <c r="J46" s="35"/>
      <c r="K46" s="35"/>
    </row>
    <row r="47" spans="1:34" ht="12" customHeight="1">
      <c r="B47" s="18"/>
      <c r="C47" s="18"/>
      <c r="D47" s="18"/>
      <c r="E47" s="18"/>
      <c r="J47" s="35"/>
      <c r="K47" s="35"/>
    </row>
    <row r="48" spans="1:34" ht="36" customHeight="1">
      <c r="A48" s="138"/>
      <c r="B48" s="138"/>
      <c r="C48" s="19" t="s">
        <v>196</v>
      </c>
      <c r="D48" s="19" t="s">
        <v>200</v>
      </c>
      <c r="E48" s="19" t="s">
        <v>25</v>
      </c>
      <c r="F48" s="9" t="s">
        <v>13</v>
      </c>
      <c r="G48" s="10">
        <v>0.25</v>
      </c>
      <c r="H48" s="2" t="s">
        <v>43</v>
      </c>
      <c r="K48" s="40" t="s">
        <v>196</v>
      </c>
      <c r="L48" s="36" t="s">
        <v>202</v>
      </c>
      <c r="M48" s="37">
        <v>2012</v>
      </c>
      <c r="N48" s="36" t="s">
        <v>201</v>
      </c>
      <c r="O48" s="40" t="s">
        <v>151</v>
      </c>
      <c r="P48" s="36" t="s">
        <v>203</v>
      </c>
      <c r="Q48" s="37">
        <v>2011</v>
      </c>
      <c r="R48" s="36" t="s">
        <v>156</v>
      </c>
      <c r="S48" s="40" t="s">
        <v>94</v>
      </c>
      <c r="T48" s="36" t="s">
        <v>204</v>
      </c>
      <c r="U48" s="37">
        <v>2010</v>
      </c>
      <c r="V48" s="36" t="s">
        <v>109</v>
      </c>
      <c r="W48" s="36" t="s">
        <v>1</v>
      </c>
      <c r="X48" s="36" t="s">
        <v>110</v>
      </c>
      <c r="Y48" s="37">
        <v>2009</v>
      </c>
      <c r="Z48" s="36" t="s">
        <v>111</v>
      </c>
      <c r="AA48" s="36">
        <v>2009</v>
      </c>
      <c r="AB48" s="36" t="s">
        <v>112</v>
      </c>
      <c r="AC48" s="36" t="s">
        <v>104</v>
      </c>
      <c r="AD48" s="36" t="s">
        <v>113</v>
      </c>
      <c r="AE48" s="37">
        <v>2008</v>
      </c>
      <c r="AF48" s="36" t="s">
        <v>114</v>
      </c>
      <c r="AG48" s="36">
        <v>2008</v>
      </c>
      <c r="AH48" s="36" t="s">
        <v>115</v>
      </c>
    </row>
    <row r="49" spans="1:34" ht="15.75" customHeight="1">
      <c r="A49" s="135" t="s">
        <v>29</v>
      </c>
      <c r="B49" s="136"/>
      <c r="C49" s="94">
        <f>K49</f>
        <v>304283</v>
      </c>
      <c r="D49" s="94">
        <f>L49</f>
        <v>70132</v>
      </c>
      <c r="E49" s="12">
        <f t="shared" ref="E49:E62" si="11">(D49/C49)</f>
        <v>0.23048280712363162</v>
      </c>
      <c r="F49" s="22">
        <f>+G49-D49</f>
        <v>5938.75</v>
      </c>
      <c r="G49" s="23">
        <f>C49*0.25</f>
        <v>76070.75</v>
      </c>
      <c r="H49" s="24">
        <f t="shared" ref="H49:H60" si="12">C49-D49</f>
        <v>234151</v>
      </c>
      <c r="I49" s="1">
        <v>0.25</v>
      </c>
      <c r="J49" s="35" t="s">
        <v>29</v>
      </c>
      <c r="K49" s="13">
        <v>304283</v>
      </c>
      <c r="L49" s="82">
        <v>70132</v>
      </c>
      <c r="M49" s="41">
        <f t="shared" ref="M49:M62" si="13">(L49/K49)</f>
        <v>0.23048280712363162</v>
      </c>
      <c r="N49" s="13">
        <f>K49-L49</f>
        <v>234151</v>
      </c>
      <c r="O49" s="13">
        <v>359430</v>
      </c>
      <c r="P49" s="82">
        <v>56380</v>
      </c>
      <c r="Q49" s="41">
        <f t="shared" ref="Q49:Q62" si="14">(P49/O49)</f>
        <v>0.15685947194168545</v>
      </c>
      <c r="R49" s="13">
        <f>O49-P49</f>
        <v>303050</v>
      </c>
      <c r="S49" s="13">
        <v>346531</v>
      </c>
      <c r="T49" s="13">
        <v>61980.31</v>
      </c>
      <c r="U49" s="41">
        <f t="shared" ref="U49:U62" si="15">(T49/S49)</f>
        <v>0.17885935168859352</v>
      </c>
      <c r="V49" s="13">
        <f>S49-T49</f>
        <v>284550.69</v>
      </c>
      <c r="W49" s="13">
        <f>'FY 2009 Exp 01-15-10'!C2</f>
        <v>351630</v>
      </c>
      <c r="X49" s="13">
        <f>SUM('FY 2009 Exp 01-15-10'!F2:H2)</f>
        <v>65480.17</v>
      </c>
      <c r="Y49" s="41">
        <f>X49/W49</f>
        <v>0.18621895173904388</v>
      </c>
      <c r="Z49" s="13">
        <f>'FY 2009 Exp 01-15-10'!D2</f>
        <v>525313</v>
      </c>
      <c r="AA49" s="41">
        <f>X49/Z49</f>
        <v>0.12464981829880471</v>
      </c>
      <c r="AB49" s="13">
        <f>W49-X49</f>
        <v>286149.83</v>
      </c>
      <c r="AC49" s="13">
        <f>'FY 2008 Exp 01-15-10'!C2</f>
        <v>370277</v>
      </c>
      <c r="AD49" s="13">
        <f>SUM('FY 2008 Exp 01-15-10'!F2:H2)</f>
        <v>52360.36</v>
      </c>
      <c r="AE49" s="41">
        <f>AD49/AC49</f>
        <v>0.14140862111338268</v>
      </c>
      <c r="AF49" s="13">
        <f>'FY 2008 Exp 01-15-10'!D2</f>
        <v>727556</v>
      </c>
      <c r="AG49" s="41">
        <f>AD49/AF49</f>
        <v>7.1967463672899412E-2</v>
      </c>
      <c r="AH49" s="13">
        <f>AC49-AD49</f>
        <v>317916.64</v>
      </c>
    </row>
    <row r="50" spans="1:34" ht="15.75" customHeight="1">
      <c r="A50" s="135" t="s">
        <v>116</v>
      </c>
      <c r="B50" s="136"/>
      <c r="C50" s="88">
        <f>K50</f>
        <v>1166679</v>
      </c>
      <c r="D50" s="88">
        <f>L50</f>
        <v>215672</v>
      </c>
      <c r="E50" s="12">
        <f t="shared" si="11"/>
        <v>0.18485976005396515</v>
      </c>
      <c r="F50" s="22">
        <f t="shared" ref="F50:F62" si="16">+G50-D50</f>
        <v>75997.75</v>
      </c>
      <c r="G50" s="25">
        <f t="shared" ref="G50:G62" si="17">C50*0.25</f>
        <v>291669.75</v>
      </c>
      <c r="H50" s="25">
        <f t="shared" si="12"/>
        <v>951007</v>
      </c>
      <c r="I50" s="1">
        <v>0.25</v>
      </c>
      <c r="J50" s="35" t="s">
        <v>116</v>
      </c>
      <c r="K50" s="83">
        <v>1166679</v>
      </c>
      <c r="L50" s="86">
        <v>215672</v>
      </c>
      <c r="M50" s="41">
        <f t="shared" si="13"/>
        <v>0.18485976005396515</v>
      </c>
      <c r="N50" s="42">
        <f t="shared" ref="N50:N61" si="18">K50-L50</f>
        <v>951007</v>
      </c>
      <c r="O50" s="83">
        <v>1134812</v>
      </c>
      <c r="P50" s="86">
        <v>384668</v>
      </c>
      <c r="Q50" s="41">
        <f t="shared" si="14"/>
        <v>0.33897068413093973</v>
      </c>
      <c r="R50" s="42">
        <f t="shared" ref="R50:R61" si="19">O50-P50</f>
        <v>750144</v>
      </c>
      <c r="S50" s="42">
        <v>1078918</v>
      </c>
      <c r="T50" s="42">
        <v>525135.30000000005</v>
      </c>
      <c r="U50" s="41">
        <f t="shared" si="15"/>
        <v>0.48672401424389994</v>
      </c>
      <c r="V50" s="42">
        <f t="shared" ref="V50:V61" si="20">S50-T50</f>
        <v>553782.69999999995</v>
      </c>
      <c r="W50" s="42">
        <f>'FY 2009 Exp 01-15-10'!C3</f>
        <v>1209220</v>
      </c>
      <c r="X50" s="42">
        <f>SUM('FY 2009 Exp 01-15-10'!F3:H3)</f>
        <v>318959.70999999996</v>
      </c>
      <c r="Y50" s="41">
        <f t="shared" ref="Y50:Y62" si="21">X50/W50</f>
        <v>0.26377310166884432</v>
      </c>
      <c r="Z50" s="42">
        <f>'FY 2009 Exp 01-15-10'!D3</f>
        <v>1275791</v>
      </c>
      <c r="AA50" s="41">
        <f t="shared" ref="AA50:AA62" si="22">X50/Z50</f>
        <v>0.25000937457624328</v>
      </c>
      <c r="AB50" s="42">
        <f t="shared" ref="AB50:AB61" si="23">W50-X50</f>
        <v>890260.29</v>
      </c>
      <c r="AC50" s="42">
        <f>'FY 2008 Exp 01-15-10'!C3</f>
        <v>1199159</v>
      </c>
      <c r="AD50" s="42">
        <f>SUM('FY 2008 Exp 01-15-10'!F3:H3)</f>
        <v>426238.22</v>
      </c>
      <c r="AE50" s="41">
        <f t="shared" ref="AE50:AE62" si="24">AD50/AC50</f>
        <v>0.35544762621136977</v>
      </c>
      <c r="AF50" s="42">
        <f>'FY 2008 Exp 01-15-10'!D3</f>
        <v>1238216</v>
      </c>
      <c r="AG50" s="41">
        <f t="shared" ref="AG50:AG62" si="25">AD50/AF50</f>
        <v>0.34423575531248179</v>
      </c>
      <c r="AH50" s="13">
        <f t="shared" ref="AH50:AH61" si="26">AC50-AD50</f>
        <v>772920.78</v>
      </c>
    </row>
    <row r="51" spans="1:34" ht="15.75" customHeight="1">
      <c r="A51" s="135" t="s">
        <v>131</v>
      </c>
      <c r="B51" s="136"/>
      <c r="C51" s="88">
        <f t="shared" ref="C51:C61" si="27">K51</f>
        <v>43927702</v>
      </c>
      <c r="D51" s="88">
        <f t="shared" ref="D51:D61" si="28">L51</f>
        <v>1300</v>
      </c>
      <c r="E51" s="12">
        <f t="shared" si="11"/>
        <v>2.9594081657173873E-5</v>
      </c>
      <c r="F51" s="22">
        <f t="shared" si="16"/>
        <v>10980625.5</v>
      </c>
      <c r="G51" s="25">
        <f t="shared" si="17"/>
        <v>10981925.5</v>
      </c>
      <c r="H51" s="25">
        <f t="shared" si="12"/>
        <v>43926402</v>
      </c>
      <c r="I51" s="1">
        <v>0.25</v>
      </c>
      <c r="J51" s="35" t="s">
        <v>131</v>
      </c>
      <c r="K51" s="83">
        <v>43927702</v>
      </c>
      <c r="L51" s="86">
        <v>1300</v>
      </c>
      <c r="M51" s="41">
        <f t="shared" si="13"/>
        <v>2.9594081657173873E-5</v>
      </c>
      <c r="N51" s="42">
        <f t="shared" si="18"/>
        <v>43926402</v>
      </c>
      <c r="O51" s="83">
        <v>43487800</v>
      </c>
      <c r="P51" s="86">
        <v>2167233</v>
      </c>
      <c r="Q51" s="41">
        <f t="shared" si="14"/>
        <v>4.9835425107731361E-2</v>
      </c>
      <c r="R51" s="42">
        <f t="shared" si="19"/>
        <v>41320567</v>
      </c>
      <c r="S51" s="42">
        <v>43665123</v>
      </c>
      <c r="T51" s="42">
        <v>293550.90000000002</v>
      </c>
      <c r="U51" s="41">
        <f t="shared" si="15"/>
        <v>6.7227773525337375E-3</v>
      </c>
      <c r="V51" s="42">
        <f t="shared" si="20"/>
        <v>43371572.100000001</v>
      </c>
      <c r="W51" s="42">
        <f>'FY 2009 Exp 01-15-10'!C4</f>
        <v>42789548</v>
      </c>
      <c r="X51" s="42">
        <f>SUM('FY 2009 Exp 01-15-10'!F4:H4)</f>
        <v>1000</v>
      </c>
      <c r="Y51" s="41">
        <f t="shared" si="21"/>
        <v>2.3370193113514544E-5</v>
      </c>
      <c r="Z51" s="42">
        <f>'FY 2009 Exp 01-15-10'!D4</f>
        <v>47916306</v>
      </c>
      <c r="AA51" s="41">
        <f t="shared" si="22"/>
        <v>2.0869722302883699E-5</v>
      </c>
      <c r="AB51" s="42">
        <f t="shared" si="23"/>
        <v>42788548</v>
      </c>
      <c r="AC51" s="42">
        <f>'FY 2008 Exp 01-15-10'!C4</f>
        <v>39688692</v>
      </c>
      <c r="AD51" s="42">
        <f>SUM('FY 2008 Exp 01-15-10'!F4:H4)</f>
        <v>300</v>
      </c>
      <c r="AE51" s="41">
        <f t="shared" si="24"/>
        <v>7.5588280913868364E-6</v>
      </c>
      <c r="AF51" s="42">
        <f>'FY 2008 Exp 01-15-10'!D4</f>
        <v>50299627</v>
      </c>
      <c r="AG51" s="41">
        <f t="shared" si="25"/>
        <v>5.9642589397332909E-6</v>
      </c>
      <c r="AH51" s="13">
        <f t="shared" si="26"/>
        <v>39688392</v>
      </c>
    </row>
    <row r="52" spans="1:34" ht="15.75" customHeight="1">
      <c r="A52" s="135" t="s">
        <v>30</v>
      </c>
      <c r="B52" s="136"/>
      <c r="C52" s="88">
        <f t="shared" si="27"/>
        <v>3539581</v>
      </c>
      <c r="D52" s="88">
        <f t="shared" si="28"/>
        <v>632824</v>
      </c>
      <c r="E52" s="12">
        <f t="shared" si="11"/>
        <v>0.17878500308369832</v>
      </c>
      <c r="F52" s="22">
        <f t="shared" si="16"/>
        <v>252071.25</v>
      </c>
      <c r="G52" s="25">
        <f t="shared" si="17"/>
        <v>884895.25</v>
      </c>
      <c r="H52" s="25">
        <f t="shared" si="12"/>
        <v>2906757</v>
      </c>
      <c r="I52" s="1">
        <v>0.25</v>
      </c>
      <c r="J52" s="35" t="s">
        <v>30</v>
      </c>
      <c r="K52" s="83">
        <v>3539581</v>
      </c>
      <c r="L52" s="86">
        <v>632824</v>
      </c>
      <c r="M52" s="41">
        <f t="shared" si="13"/>
        <v>0.17878500308369832</v>
      </c>
      <c r="N52" s="42">
        <f t="shared" si="18"/>
        <v>2906757</v>
      </c>
      <c r="O52" s="83">
        <v>2892101</v>
      </c>
      <c r="P52" s="86">
        <v>409939</v>
      </c>
      <c r="Q52" s="41">
        <f t="shared" si="14"/>
        <v>0.14174435816729775</v>
      </c>
      <c r="R52" s="42">
        <f t="shared" si="19"/>
        <v>2482162</v>
      </c>
      <c r="S52" s="42">
        <v>3263326</v>
      </c>
      <c r="T52" s="42">
        <v>526952.73</v>
      </c>
      <c r="U52" s="41">
        <f t="shared" si="15"/>
        <v>0.16147719535222652</v>
      </c>
      <c r="V52" s="42">
        <f t="shared" si="20"/>
        <v>2736373.27</v>
      </c>
      <c r="W52" s="42">
        <f>'FY 2009 Exp 01-15-10'!C5</f>
        <v>3360551</v>
      </c>
      <c r="X52" s="42">
        <f>SUM('FY 2009 Exp 01-15-10'!F5:H5)</f>
        <v>413309.75</v>
      </c>
      <c r="Y52" s="41">
        <f t="shared" si="21"/>
        <v>0.12298868548639791</v>
      </c>
      <c r="Z52" s="42">
        <f>'FY 2009 Exp 01-15-10'!D5</f>
        <v>3318332</v>
      </c>
      <c r="AA52" s="41">
        <f t="shared" si="22"/>
        <v>0.12455346541575707</v>
      </c>
      <c r="AB52" s="42">
        <f t="shared" si="23"/>
        <v>2947241.25</v>
      </c>
      <c r="AC52" s="42">
        <f>'FY 2008 Exp 01-15-10'!C5</f>
        <v>2433415</v>
      </c>
      <c r="AD52" s="42">
        <f>SUM('FY 2008 Exp 01-15-10'!F5:H5)</f>
        <v>459684.51</v>
      </c>
      <c r="AE52" s="41">
        <f t="shared" si="24"/>
        <v>0.1889051024999846</v>
      </c>
      <c r="AF52" s="42">
        <f>'FY 2008 Exp 01-15-10'!D5</f>
        <v>3139760</v>
      </c>
      <c r="AG52" s="41">
        <f t="shared" si="25"/>
        <v>0.14640753114887761</v>
      </c>
      <c r="AH52" s="13">
        <f t="shared" si="26"/>
        <v>1973730.49</v>
      </c>
    </row>
    <row r="53" spans="1:34" ht="15.75" customHeight="1">
      <c r="A53" s="135" t="s">
        <v>15</v>
      </c>
      <c r="B53" s="136"/>
      <c r="C53" s="88">
        <f t="shared" si="27"/>
        <v>10245180</v>
      </c>
      <c r="D53" s="88">
        <f t="shared" si="28"/>
        <v>3303438</v>
      </c>
      <c r="E53" s="12">
        <f t="shared" si="11"/>
        <v>0.32243825877144178</v>
      </c>
      <c r="F53" s="22">
        <f t="shared" si="16"/>
        <v>-742143</v>
      </c>
      <c r="G53" s="25">
        <f t="shared" si="17"/>
        <v>2561295</v>
      </c>
      <c r="H53" s="25">
        <f t="shared" si="12"/>
        <v>6941742</v>
      </c>
      <c r="I53" s="1">
        <v>0.25</v>
      </c>
      <c r="J53" s="35" t="s">
        <v>15</v>
      </c>
      <c r="K53" s="83">
        <v>10245180</v>
      </c>
      <c r="L53" s="86">
        <v>3303438</v>
      </c>
      <c r="M53" s="41">
        <f t="shared" si="13"/>
        <v>0.32243825877144178</v>
      </c>
      <c r="N53" s="42">
        <f t="shared" si="18"/>
        <v>6941742</v>
      </c>
      <c r="O53" s="83">
        <v>10586321</v>
      </c>
      <c r="P53" s="86">
        <v>1935547</v>
      </c>
      <c r="Q53" s="41">
        <f t="shared" si="14"/>
        <v>0.18283471661212616</v>
      </c>
      <c r="R53" s="42">
        <f t="shared" si="19"/>
        <v>8650774</v>
      </c>
      <c r="S53" s="42">
        <v>10604579</v>
      </c>
      <c r="T53" s="42">
        <v>2262421.56</v>
      </c>
      <c r="U53" s="41">
        <f t="shared" si="15"/>
        <v>0.21334383571474172</v>
      </c>
      <c r="V53" s="42">
        <f t="shared" si="20"/>
        <v>8342157.4399999995</v>
      </c>
      <c r="W53" s="42">
        <f>'FY 2009 Exp 01-15-10'!C6</f>
        <v>10906229</v>
      </c>
      <c r="X53" s="42">
        <f>SUM('FY 2009 Exp 01-15-10'!F6:H6)</f>
        <v>1433663.59</v>
      </c>
      <c r="Y53" s="41">
        <f t="shared" si="21"/>
        <v>0.13145364818582114</v>
      </c>
      <c r="Z53" s="42">
        <f>'FY 2009 Exp 01-15-10'!D6</f>
        <v>11732575</v>
      </c>
      <c r="AA53" s="41">
        <f t="shared" si="22"/>
        <v>0.12219513533900274</v>
      </c>
      <c r="AB53" s="42">
        <f t="shared" si="23"/>
        <v>9472565.4100000001</v>
      </c>
      <c r="AC53" s="42">
        <f>'FY 2008 Exp 01-15-10'!C6</f>
        <v>9925189</v>
      </c>
      <c r="AD53" s="42">
        <f>SUM('FY 2008 Exp 01-15-10'!F6:H6)</f>
        <v>1742101.62</v>
      </c>
      <c r="AE53" s="41">
        <f t="shared" si="24"/>
        <v>0.17552326912867858</v>
      </c>
      <c r="AF53" s="42">
        <f>'FY 2008 Exp 01-15-10'!D6</f>
        <v>10236244</v>
      </c>
      <c r="AG53" s="41">
        <f t="shared" si="25"/>
        <v>0.17018953631820422</v>
      </c>
      <c r="AH53" s="13">
        <f t="shared" si="26"/>
        <v>8183087.3799999999</v>
      </c>
    </row>
    <row r="54" spans="1:34" ht="15.75" customHeight="1">
      <c r="A54" s="135" t="s">
        <v>14</v>
      </c>
      <c r="B54" s="136"/>
      <c r="C54" s="88">
        <f t="shared" si="27"/>
        <v>35621648</v>
      </c>
      <c r="D54" s="88">
        <f t="shared" si="28"/>
        <v>8908030</v>
      </c>
      <c r="E54" s="12">
        <f t="shared" si="11"/>
        <v>0.25007349463449868</v>
      </c>
      <c r="F54" s="22">
        <f t="shared" si="16"/>
        <v>-2618</v>
      </c>
      <c r="G54" s="25">
        <f t="shared" si="17"/>
        <v>8905412</v>
      </c>
      <c r="H54" s="25">
        <f t="shared" si="12"/>
        <v>26713618</v>
      </c>
      <c r="I54" s="1">
        <v>0.25</v>
      </c>
      <c r="J54" s="35" t="s">
        <v>205</v>
      </c>
      <c r="K54" s="83">
        <v>35621648</v>
      </c>
      <c r="L54" s="86">
        <v>8908030</v>
      </c>
      <c r="M54" s="41">
        <f t="shared" si="13"/>
        <v>0.25007349463449868</v>
      </c>
      <c r="N54" s="42">
        <f t="shared" si="18"/>
        <v>26713618</v>
      </c>
      <c r="O54" s="83">
        <v>41179358</v>
      </c>
      <c r="P54" s="86">
        <v>11519665</v>
      </c>
      <c r="Q54" s="41">
        <f t="shared" si="14"/>
        <v>0.27974367643128384</v>
      </c>
      <c r="R54" s="42">
        <f t="shared" si="19"/>
        <v>29659693</v>
      </c>
      <c r="S54" s="42">
        <v>40714461</v>
      </c>
      <c r="T54" s="42">
        <v>9673624.4499999993</v>
      </c>
      <c r="U54" s="41">
        <f t="shared" si="15"/>
        <v>0.23759677059214904</v>
      </c>
      <c r="V54" s="42">
        <f t="shared" si="20"/>
        <v>31040836.550000001</v>
      </c>
      <c r="W54" s="42">
        <f>'FY 2009 Exp 01-15-10'!C7</f>
        <v>39128938</v>
      </c>
      <c r="X54" s="42">
        <f>SUM('FY 2009 Exp 01-15-10'!F7:H7)</f>
        <v>5931448.0800000001</v>
      </c>
      <c r="Y54" s="41">
        <f t="shared" si="21"/>
        <v>0.15158724931404988</v>
      </c>
      <c r="Z54" s="42">
        <f>'FY 2009 Exp 01-15-10'!D7</f>
        <v>41658952</v>
      </c>
      <c r="AA54" s="41">
        <f t="shared" si="22"/>
        <v>0.14238111606840229</v>
      </c>
      <c r="AB54" s="42">
        <f t="shared" si="23"/>
        <v>33197489.920000002</v>
      </c>
      <c r="AC54" s="42">
        <f>'FY 2008 Exp 01-15-10'!C7</f>
        <v>37639150</v>
      </c>
      <c r="AD54" s="42">
        <f>SUM('FY 2008 Exp 01-15-10'!F7:H7)</f>
        <v>4862701.33</v>
      </c>
      <c r="AE54" s="41">
        <f t="shared" si="24"/>
        <v>0.12919264462667196</v>
      </c>
      <c r="AF54" s="42">
        <f>'FY 2008 Exp 01-15-10'!D7</f>
        <v>36096874</v>
      </c>
      <c r="AG54" s="41">
        <f t="shared" si="25"/>
        <v>0.13471253300216524</v>
      </c>
      <c r="AH54" s="13">
        <f t="shared" si="26"/>
        <v>32776448.670000002</v>
      </c>
    </row>
    <row r="55" spans="1:34" ht="15.75" customHeight="1">
      <c r="A55" s="135" t="s">
        <v>117</v>
      </c>
      <c r="B55" s="136"/>
      <c r="C55" s="88">
        <f t="shared" si="27"/>
        <v>17339921</v>
      </c>
      <c r="D55" s="88">
        <f t="shared" si="28"/>
        <v>3834958</v>
      </c>
      <c r="E55" s="12">
        <f t="shared" si="11"/>
        <v>0.22116352202527337</v>
      </c>
      <c r="F55" s="22">
        <f t="shared" si="16"/>
        <v>500022.25</v>
      </c>
      <c r="G55" s="25">
        <f t="shared" si="17"/>
        <v>4334980.25</v>
      </c>
      <c r="H55" s="25">
        <f t="shared" si="12"/>
        <v>13504963</v>
      </c>
      <c r="I55" s="1">
        <v>0.25</v>
      </c>
      <c r="J55" s="35" t="s">
        <v>117</v>
      </c>
      <c r="K55" s="83">
        <v>17339921</v>
      </c>
      <c r="L55" s="86">
        <v>3834958</v>
      </c>
      <c r="M55" s="41">
        <f t="shared" si="13"/>
        <v>0.22116352202527337</v>
      </c>
      <c r="N55" s="42">
        <f t="shared" si="18"/>
        <v>13504963</v>
      </c>
      <c r="O55" s="83">
        <v>19492602</v>
      </c>
      <c r="P55" s="86">
        <v>3407667</v>
      </c>
      <c r="Q55" s="41">
        <f t="shared" si="14"/>
        <v>0.17481847728692146</v>
      </c>
      <c r="R55" s="42">
        <f t="shared" si="19"/>
        <v>16084935</v>
      </c>
      <c r="S55" s="42">
        <v>17404071</v>
      </c>
      <c r="T55" s="42">
        <v>3897891.85</v>
      </c>
      <c r="U55" s="41">
        <f t="shared" si="15"/>
        <v>0.22396437304812192</v>
      </c>
      <c r="V55" s="42">
        <f t="shared" si="20"/>
        <v>13506179.15</v>
      </c>
      <c r="W55" s="42">
        <f>'FY 2009 Exp 01-15-10'!C8</f>
        <v>17368061</v>
      </c>
      <c r="X55" s="42">
        <f>SUM('FY 2009 Exp 01-15-10'!F8:H8)</f>
        <v>3636447.43</v>
      </c>
      <c r="Y55" s="41">
        <f t="shared" si="21"/>
        <v>0.20937555608539146</v>
      </c>
      <c r="Z55" s="42">
        <f>'FY 2009 Exp 01-15-10'!D8</f>
        <v>17937753</v>
      </c>
      <c r="AA55" s="41">
        <f t="shared" si="22"/>
        <v>0.20272591723166219</v>
      </c>
      <c r="AB55" s="42">
        <f t="shared" si="23"/>
        <v>13731613.57</v>
      </c>
      <c r="AC55" s="42">
        <f>'FY 2008 Exp 01-15-10'!C8</f>
        <v>17183257</v>
      </c>
      <c r="AD55" s="42">
        <f>SUM('FY 2008 Exp 01-15-10'!F8:H8)</f>
        <v>2418994.64</v>
      </c>
      <c r="AE55" s="41">
        <f t="shared" si="24"/>
        <v>0.14077625912247022</v>
      </c>
      <c r="AF55" s="42">
        <f>'FY 2008 Exp 01-15-10'!D8</f>
        <v>15836617</v>
      </c>
      <c r="AG55" s="41">
        <f t="shared" si="25"/>
        <v>0.15274693073653295</v>
      </c>
      <c r="AH55" s="13">
        <f t="shared" si="26"/>
        <v>14764262.359999999</v>
      </c>
    </row>
    <row r="56" spans="1:34" ht="15.75" customHeight="1">
      <c r="A56" s="135" t="s">
        <v>31</v>
      </c>
      <c r="B56" s="136"/>
      <c r="C56" s="88">
        <f t="shared" si="27"/>
        <v>17000798</v>
      </c>
      <c r="D56" s="88">
        <f t="shared" si="28"/>
        <v>5211665</v>
      </c>
      <c r="E56" s="12">
        <f t="shared" si="11"/>
        <v>0.30655413939980936</v>
      </c>
      <c r="F56" s="22">
        <f t="shared" si="16"/>
        <v>-961465.5</v>
      </c>
      <c r="G56" s="25">
        <f t="shared" si="17"/>
        <v>4250199.5</v>
      </c>
      <c r="H56" s="25">
        <f t="shared" si="12"/>
        <v>11789133</v>
      </c>
      <c r="I56" s="1">
        <v>0.25</v>
      </c>
      <c r="J56" s="35" t="s">
        <v>31</v>
      </c>
      <c r="K56" s="83">
        <v>17000798</v>
      </c>
      <c r="L56" s="86">
        <v>5211665</v>
      </c>
      <c r="M56" s="41">
        <f t="shared" si="13"/>
        <v>0.30655413939980936</v>
      </c>
      <c r="N56" s="42">
        <f t="shared" si="18"/>
        <v>11789133</v>
      </c>
      <c r="O56" s="83">
        <v>17117766</v>
      </c>
      <c r="P56" s="86">
        <v>3285992</v>
      </c>
      <c r="Q56" s="41">
        <f t="shared" si="14"/>
        <v>0.19196383453308102</v>
      </c>
      <c r="R56" s="42">
        <f t="shared" si="19"/>
        <v>13831774</v>
      </c>
      <c r="S56" s="42">
        <v>17413314</v>
      </c>
      <c r="T56" s="42">
        <v>3510638.71</v>
      </c>
      <c r="U56" s="41">
        <f t="shared" si="15"/>
        <v>0.20160658160761358</v>
      </c>
      <c r="V56" s="42">
        <f t="shared" si="20"/>
        <v>13902675.289999999</v>
      </c>
      <c r="W56" s="42">
        <f>'FY 2009 Exp 01-15-10'!C9</f>
        <v>17278014</v>
      </c>
      <c r="X56" s="42">
        <f>SUM('FY 2009 Exp 01-15-10'!F9:H9)</f>
        <v>2923154.52</v>
      </c>
      <c r="Y56" s="41">
        <f t="shared" si="21"/>
        <v>0.16918347907346296</v>
      </c>
      <c r="Z56" s="42">
        <f>'FY 2009 Exp 01-15-10'!D9</f>
        <v>17898937</v>
      </c>
      <c r="AA56" s="41">
        <f t="shared" si="22"/>
        <v>0.16331442029211007</v>
      </c>
      <c r="AB56" s="42">
        <f t="shared" si="23"/>
        <v>14354859.48</v>
      </c>
      <c r="AC56" s="42">
        <f>'FY 2008 Exp 01-15-10'!C9</f>
        <v>16892588</v>
      </c>
      <c r="AD56" s="42">
        <f>SUM('FY 2008 Exp 01-15-10'!F9:H9)</f>
        <v>2724007.23</v>
      </c>
      <c r="AE56" s="41">
        <f t="shared" si="24"/>
        <v>0.16125458277914551</v>
      </c>
      <c r="AF56" s="42">
        <f>'FY 2008 Exp 01-15-10'!D9</f>
        <v>17511804</v>
      </c>
      <c r="AG56" s="41">
        <f t="shared" si="25"/>
        <v>0.15555263352650589</v>
      </c>
      <c r="AH56" s="13">
        <f t="shared" si="26"/>
        <v>14168580.77</v>
      </c>
    </row>
    <row r="57" spans="1:34" ht="15.75" customHeight="1">
      <c r="A57" s="135" t="s">
        <v>32</v>
      </c>
      <c r="B57" s="136"/>
      <c r="C57" s="88">
        <f t="shared" si="27"/>
        <v>10468040</v>
      </c>
      <c r="D57" s="88">
        <f t="shared" si="28"/>
        <v>3104775</v>
      </c>
      <c r="E57" s="12">
        <f t="shared" si="11"/>
        <v>0.29659563776982129</v>
      </c>
      <c r="F57" s="22">
        <f t="shared" si="16"/>
        <v>-487765</v>
      </c>
      <c r="G57" s="25">
        <f t="shared" si="17"/>
        <v>2617010</v>
      </c>
      <c r="H57" s="25">
        <f t="shared" si="12"/>
        <v>7363265</v>
      </c>
      <c r="I57" s="1">
        <v>0.25</v>
      </c>
      <c r="J57" s="35" t="s">
        <v>32</v>
      </c>
      <c r="K57" s="83">
        <v>10468040</v>
      </c>
      <c r="L57" s="86">
        <v>3104775</v>
      </c>
      <c r="M57" s="41">
        <f t="shared" si="13"/>
        <v>0.29659563776982129</v>
      </c>
      <c r="N57" s="42">
        <f t="shared" si="18"/>
        <v>7363265</v>
      </c>
      <c r="O57" s="83">
        <v>10895570</v>
      </c>
      <c r="P57" s="86">
        <v>2195034</v>
      </c>
      <c r="Q57" s="41">
        <f t="shared" si="14"/>
        <v>0.20146114429993106</v>
      </c>
      <c r="R57" s="42">
        <f t="shared" si="19"/>
        <v>8700536</v>
      </c>
      <c r="S57" s="42">
        <v>10775827</v>
      </c>
      <c r="T57" s="42">
        <v>2503431.64</v>
      </c>
      <c r="U57" s="41">
        <f t="shared" si="15"/>
        <v>0.23231921225164437</v>
      </c>
      <c r="V57" s="42">
        <f t="shared" si="20"/>
        <v>8272395.3599999994</v>
      </c>
      <c r="W57" s="42">
        <f>'FY 2009 Exp 01-15-10'!C10</f>
        <v>10462445</v>
      </c>
      <c r="X57" s="42">
        <f>SUM('FY 2009 Exp 01-15-10'!F10:H10)</f>
        <v>1834247.1400000001</v>
      </c>
      <c r="Y57" s="41">
        <f t="shared" si="21"/>
        <v>0.17531725519226149</v>
      </c>
      <c r="Z57" s="42">
        <f>'FY 2009 Exp 01-15-10'!D10</f>
        <v>10559987</v>
      </c>
      <c r="AA57" s="41">
        <f t="shared" si="22"/>
        <v>0.17369785966592574</v>
      </c>
      <c r="AB57" s="42">
        <f t="shared" si="23"/>
        <v>8628197.8599999994</v>
      </c>
      <c r="AC57" s="42">
        <f>'FY 2008 Exp 01-15-10'!C10</f>
        <v>10123030</v>
      </c>
      <c r="AD57" s="42">
        <f>SUM('FY 2008 Exp 01-15-10'!F10:H10)</f>
        <v>1715125.08</v>
      </c>
      <c r="AE57" s="41">
        <f t="shared" si="24"/>
        <v>0.16942803488678784</v>
      </c>
      <c r="AF57" s="42">
        <f>'FY 2008 Exp 01-15-10'!D10</f>
        <v>10223818</v>
      </c>
      <c r="AG57" s="41">
        <f t="shared" si="25"/>
        <v>0.16775778676811345</v>
      </c>
      <c r="AH57" s="13">
        <f t="shared" si="26"/>
        <v>8407904.9199999999</v>
      </c>
    </row>
    <row r="58" spans="1:34" ht="15.75" customHeight="1">
      <c r="A58" s="135" t="s">
        <v>33</v>
      </c>
      <c r="B58" s="136"/>
      <c r="C58" s="88">
        <f t="shared" si="27"/>
        <v>13924247</v>
      </c>
      <c r="D58" s="88">
        <f t="shared" si="28"/>
        <v>3212480</v>
      </c>
      <c r="E58" s="12">
        <f t="shared" si="11"/>
        <v>0.23071121906987144</v>
      </c>
      <c r="F58" s="22">
        <f t="shared" si="16"/>
        <v>268581.75</v>
      </c>
      <c r="G58" s="25">
        <f t="shared" si="17"/>
        <v>3481061.75</v>
      </c>
      <c r="H58" s="25">
        <f t="shared" si="12"/>
        <v>10711767</v>
      </c>
      <c r="I58" s="1">
        <v>0.25</v>
      </c>
      <c r="J58" s="35" t="s">
        <v>33</v>
      </c>
      <c r="K58" s="83">
        <v>13924247</v>
      </c>
      <c r="L58" s="86">
        <v>3212480</v>
      </c>
      <c r="M58" s="41">
        <f t="shared" si="13"/>
        <v>0.23071121906987144</v>
      </c>
      <c r="N58" s="42">
        <f t="shared" si="18"/>
        <v>10711767</v>
      </c>
      <c r="O58" s="83">
        <v>11591817</v>
      </c>
      <c r="P58" s="86">
        <v>9204480</v>
      </c>
      <c r="Q58" s="41">
        <f t="shared" si="14"/>
        <v>0.79404980254605473</v>
      </c>
      <c r="R58" s="42">
        <f t="shared" si="19"/>
        <v>2387337</v>
      </c>
      <c r="S58" s="42">
        <v>13414559</v>
      </c>
      <c r="T58" s="42">
        <v>2210312.6</v>
      </c>
      <c r="U58" s="41">
        <f t="shared" si="15"/>
        <v>0.16476968046433729</v>
      </c>
      <c r="V58" s="42">
        <f t="shared" si="20"/>
        <v>11204246.4</v>
      </c>
      <c r="W58" s="42">
        <f>'FY 2009 Exp 01-15-10'!C11</f>
        <v>13483773</v>
      </c>
      <c r="X58" s="42">
        <f>SUM('FY 2009 Exp 01-15-10'!F11:H11)</f>
        <v>4721352.5</v>
      </c>
      <c r="Y58" s="41">
        <f t="shared" si="21"/>
        <v>0.35015069595134835</v>
      </c>
      <c r="Z58" s="42">
        <f>'FY 2009 Exp 01-15-10'!D11</f>
        <v>25988724</v>
      </c>
      <c r="AA58" s="41">
        <f t="shared" si="22"/>
        <v>0.18166926933388497</v>
      </c>
      <c r="AB58" s="42">
        <f t="shared" si="23"/>
        <v>8762420.5</v>
      </c>
      <c r="AC58" s="42">
        <f>'FY 2008 Exp 01-15-10'!C11</f>
        <v>13190056</v>
      </c>
      <c r="AD58" s="42">
        <f>SUM('FY 2008 Exp 01-15-10'!F11:H11)</f>
        <v>3495021.5</v>
      </c>
      <c r="AE58" s="41">
        <f t="shared" si="24"/>
        <v>0.26497396978451038</v>
      </c>
      <c r="AF58" s="42">
        <f>'FY 2008 Exp 01-15-10'!D11</f>
        <v>40957636</v>
      </c>
      <c r="AG58" s="41">
        <f t="shared" si="25"/>
        <v>8.5332598297421264E-2</v>
      </c>
      <c r="AH58" s="13">
        <f t="shared" si="26"/>
        <v>9695034.5</v>
      </c>
    </row>
    <row r="59" spans="1:34" ht="15.75" customHeight="1">
      <c r="A59" s="135" t="s">
        <v>34</v>
      </c>
      <c r="B59" s="136"/>
      <c r="C59" s="88">
        <f t="shared" si="27"/>
        <v>63810544</v>
      </c>
      <c r="D59" s="88">
        <f t="shared" si="28"/>
        <v>20058192</v>
      </c>
      <c r="E59" s="12">
        <f t="shared" si="11"/>
        <v>0.31433977431692167</v>
      </c>
      <c r="F59" s="22">
        <f t="shared" si="16"/>
        <v>-4105556</v>
      </c>
      <c r="G59" s="25">
        <f t="shared" si="17"/>
        <v>15952636</v>
      </c>
      <c r="H59" s="25">
        <f t="shared" si="12"/>
        <v>43752352</v>
      </c>
      <c r="I59" s="1">
        <v>0.25</v>
      </c>
      <c r="J59" s="35" t="s">
        <v>34</v>
      </c>
      <c r="K59" s="83">
        <v>63810544</v>
      </c>
      <c r="L59" s="86">
        <v>20058192</v>
      </c>
      <c r="M59" s="41">
        <f t="shared" si="13"/>
        <v>0.31433977431692167</v>
      </c>
      <c r="N59" s="42">
        <f t="shared" si="18"/>
        <v>43752352</v>
      </c>
      <c r="O59" s="83">
        <v>65349602</v>
      </c>
      <c r="P59" s="86">
        <v>14281768</v>
      </c>
      <c r="Q59" s="41">
        <f t="shared" si="14"/>
        <v>0.21854407009242383</v>
      </c>
      <c r="R59" s="42">
        <f t="shared" si="19"/>
        <v>51067834</v>
      </c>
      <c r="S59" s="42">
        <v>65544767</v>
      </c>
      <c r="T59" s="42">
        <v>15025948.539999999</v>
      </c>
      <c r="U59" s="41">
        <f t="shared" si="15"/>
        <v>0.22924711197768083</v>
      </c>
      <c r="V59" s="42">
        <f t="shared" si="20"/>
        <v>50518818.460000001</v>
      </c>
      <c r="W59" s="42">
        <f>'FY 2009 Exp 01-15-10'!C12</f>
        <v>65608655</v>
      </c>
      <c r="X59" s="42">
        <f>SUM('FY 2009 Exp 01-15-10'!F12:H12)</f>
        <v>11934925.530000001</v>
      </c>
      <c r="Y59" s="41">
        <f t="shared" si="21"/>
        <v>0.18191083981221687</v>
      </c>
      <c r="Z59" s="42">
        <f>'FY 2009 Exp 01-15-10'!D12</f>
        <v>58058647</v>
      </c>
      <c r="AA59" s="41">
        <f t="shared" si="22"/>
        <v>0.20556671825301065</v>
      </c>
      <c r="AB59" s="42">
        <f t="shared" si="23"/>
        <v>53673729.469999999</v>
      </c>
      <c r="AC59" s="42">
        <f>'FY 2008 Exp 01-15-10'!C12</f>
        <v>64075535</v>
      </c>
      <c r="AD59" s="42">
        <f>SUM('FY 2008 Exp 01-15-10'!F12:H12)</f>
        <v>12546470.73</v>
      </c>
      <c r="AE59" s="41">
        <f t="shared" si="24"/>
        <v>0.19580750640630626</v>
      </c>
      <c r="AF59" s="42">
        <f>'FY 2008 Exp 01-15-10'!D12</f>
        <v>57996969</v>
      </c>
      <c r="AG59" s="41">
        <f t="shared" si="25"/>
        <v>0.21632976595725201</v>
      </c>
      <c r="AH59" s="13">
        <f t="shared" si="26"/>
        <v>51529064.269999996</v>
      </c>
    </row>
    <row r="60" spans="1:34" ht="15.75" customHeight="1">
      <c r="A60" s="135" t="s">
        <v>132</v>
      </c>
      <c r="B60" s="136"/>
      <c r="C60" s="88">
        <f t="shared" si="27"/>
        <v>19894693</v>
      </c>
      <c r="D60" s="88">
        <f t="shared" si="28"/>
        <v>6964318</v>
      </c>
      <c r="E60" s="12">
        <f t="shared" si="11"/>
        <v>0.35005908359581123</v>
      </c>
      <c r="F60" s="22">
        <f t="shared" si="16"/>
        <v>-1990644.75</v>
      </c>
      <c r="G60" s="25">
        <f t="shared" si="17"/>
        <v>4973673.25</v>
      </c>
      <c r="H60" s="25">
        <f t="shared" si="12"/>
        <v>12930375</v>
      </c>
      <c r="I60" s="1">
        <v>0.25</v>
      </c>
      <c r="J60" s="35" t="s">
        <v>132</v>
      </c>
      <c r="K60" s="83">
        <v>19894693</v>
      </c>
      <c r="L60" s="86">
        <v>6964318</v>
      </c>
      <c r="M60" s="41">
        <f t="shared" si="13"/>
        <v>0.35005908359581123</v>
      </c>
      <c r="N60" s="42">
        <f t="shared" si="18"/>
        <v>12930375</v>
      </c>
      <c r="O60" s="83">
        <v>19688923</v>
      </c>
      <c r="P60" s="86">
        <v>11149834</v>
      </c>
      <c r="Q60" s="41">
        <f t="shared" si="14"/>
        <v>0.56629984281009171</v>
      </c>
      <c r="R60" s="42">
        <f t="shared" si="19"/>
        <v>8539089</v>
      </c>
      <c r="S60" s="42">
        <v>19347332</v>
      </c>
      <c r="T60" s="42">
        <v>5946867.6799999997</v>
      </c>
      <c r="U60" s="41">
        <f t="shared" si="15"/>
        <v>0.30737404413176966</v>
      </c>
      <c r="V60" s="42">
        <f t="shared" si="20"/>
        <v>13400464.32</v>
      </c>
      <c r="W60" s="42">
        <f>'FY 2009 Exp 01-15-10'!C13</f>
        <v>19861346</v>
      </c>
      <c r="X60" s="42">
        <f>SUM('FY 2009 Exp 01-15-10'!F13:H13)</f>
        <v>11557682.65</v>
      </c>
      <c r="Y60" s="41">
        <f t="shared" si="21"/>
        <v>0.581918398179056</v>
      </c>
      <c r="Z60" s="42">
        <f>'FY 2009 Exp 01-15-10'!D13</f>
        <v>38533167</v>
      </c>
      <c r="AA60" s="41">
        <f t="shared" si="22"/>
        <v>0.29994115588786152</v>
      </c>
      <c r="AB60" s="42">
        <f t="shared" si="23"/>
        <v>8303663.3499999996</v>
      </c>
      <c r="AC60" s="42">
        <f>'FY 2008 Exp 01-15-10'!C13</f>
        <v>17022879</v>
      </c>
      <c r="AD60" s="42">
        <f>SUM('FY 2008 Exp 01-15-10'!F13:H13)</f>
        <v>7032865.2899999991</v>
      </c>
      <c r="AE60" s="41">
        <f t="shared" si="24"/>
        <v>0.4131419420886443</v>
      </c>
      <c r="AF60" s="42">
        <f>'FY 2008 Exp 01-15-10'!D13</f>
        <v>37697948</v>
      </c>
      <c r="AG60" s="41">
        <f t="shared" si="25"/>
        <v>0.18655830524250283</v>
      </c>
      <c r="AH60" s="13">
        <f t="shared" si="26"/>
        <v>9990013.7100000009</v>
      </c>
    </row>
    <row r="61" spans="1:34" ht="15.75" customHeight="1" thickBot="1">
      <c r="A61" s="135" t="s">
        <v>35</v>
      </c>
      <c r="B61" s="136"/>
      <c r="C61" s="88">
        <f t="shared" si="27"/>
        <v>27624277</v>
      </c>
      <c r="D61" s="88">
        <f t="shared" si="28"/>
        <v>13420952</v>
      </c>
      <c r="E61" s="12">
        <f t="shared" si="11"/>
        <v>0.48583903209484902</v>
      </c>
      <c r="F61" s="22">
        <f t="shared" si="16"/>
        <v>-6514882.75</v>
      </c>
      <c r="G61" s="25">
        <f t="shared" si="17"/>
        <v>6906069.25</v>
      </c>
      <c r="H61" s="25">
        <v>0</v>
      </c>
      <c r="I61" s="1">
        <v>0.25</v>
      </c>
      <c r="J61" s="35" t="s">
        <v>35</v>
      </c>
      <c r="K61" s="84">
        <v>27624277</v>
      </c>
      <c r="L61" s="87">
        <v>13420952</v>
      </c>
      <c r="M61" s="38">
        <f t="shared" si="13"/>
        <v>0.48583903209484902</v>
      </c>
      <c r="N61" s="44">
        <f t="shared" si="18"/>
        <v>14203325</v>
      </c>
      <c r="O61" s="84">
        <v>28150079</v>
      </c>
      <c r="P61" s="87">
        <v>30143927</v>
      </c>
      <c r="Q61" s="38">
        <f t="shared" si="14"/>
        <v>1.070829215079645</v>
      </c>
      <c r="R61" s="44">
        <f t="shared" si="19"/>
        <v>-1993848</v>
      </c>
      <c r="S61" s="44">
        <v>26609348</v>
      </c>
      <c r="T61" s="44">
        <v>2665266.39</v>
      </c>
      <c r="U61" s="38">
        <f t="shared" si="15"/>
        <v>0.10016278452219123</v>
      </c>
      <c r="V61" s="44">
        <f t="shared" si="20"/>
        <v>23944081.609999999</v>
      </c>
      <c r="W61" s="44">
        <f>'FY 2009 Exp 01-15-10'!C14</f>
        <v>27673796</v>
      </c>
      <c r="X61" s="44">
        <f>SUM('FY 2009 Exp 01-15-10'!F14:H14)</f>
        <v>5609973.29</v>
      </c>
      <c r="Y61" s="38">
        <f t="shared" si="21"/>
        <v>0.20271788120429882</v>
      </c>
      <c r="Z61" s="44">
        <f>'FY 2009 Exp 01-15-10'!D14</f>
        <v>70249042</v>
      </c>
      <c r="AA61" s="38">
        <f t="shared" si="22"/>
        <v>7.9858360061337202E-2</v>
      </c>
      <c r="AB61" s="44">
        <f t="shared" si="23"/>
        <v>22063822.710000001</v>
      </c>
      <c r="AC61" s="44">
        <f>'FY 2008 Exp 01-15-10'!C14</f>
        <v>25864446</v>
      </c>
      <c r="AD61" s="44">
        <f>SUM('FY 2008 Exp 01-15-10'!F14:H14)</f>
        <v>4351706.92</v>
      </c>
      <c r="AE61" s="38">
        <f t="shared" si="24"/>
        <v>0.16825053666334086</v>
      </c>
      <c r="AF61" s="44">
        <f>'FY 2008 Exp 01-15-10'!D14</f>
        <v>40216702</v>
      </c>
      <c r="AG61" s="38">
        <f t="shared" si="25"/>
        <v>0.10820645909751625</v>
      </c>
      <c r="AH61" s="45">
        <f t="shared" si="26"/>
        <v>21512739.079999998</v>
      </c>
    </row>
    <row r="62" spans="1:34" ht="15.75" customHeight="1" thickBot="1">
      <c r="A62" s="139" t="s">
        <v>28</v>
      </c>
      <c r="B62" s="140"/>
      <c r="C62" s="95">
        <f>SUM(C49:C61)</f>
        <v>264867593</v>
      </c>
      <c r="D62" s="95">
        <f>SUM(D49:D61)</f>
        <v>68938736</v>
      </c>
      <c r="E62" s="12">
        <f t="shared" si="11"/>
        <v>0.26027622035286135</v>
      </c>
      <c r="F62" s="97">
        <f t="shared" si="16"/>
        <v>-2721837.75</v>
      </c>
      <c r="G62" s="14">
        <f t="shared" si="17"/>
        <v>66216898.25</v>
      </c>
      <c r="J62" s="30"/>
      <c r="K62" s="43">
        <f>SUM(K49:K61)</f>
        <v>264867593</v>
      </c>
      <c r="L62" s="43">
        <f>SUM(L49:L61)</f>
        <v>68938736</v>
      </c>
      <c r="M62" s="39">
        <f t="shared" si="13"/>
        <v>0.26027622035286135</v>
      </c>
      <c r="N62" s="43">
        <f>SUM(N49:N61)</f>
        <v>195928857</v>
      </c>
      <c r="O62" s="43">
        <f>SUM(O49:O61)</f>
        <v>271926181</v>
      </c>
      <c r="P62" s="43">
        <f>SUM(P49:P61)</f>
        <v>90142134</v>
      </c>
      <c r="Q62" s="39">
        <f t="shared" si="14"/>
        <v>0.3314948699257465</v>
      </c>
      <c r="R62" s="43">
        <f>SUM(R49:R61)</f>
        <v>181784047</v>
      </c>
      <c r="S62" s="43">
        <f>SUM(S49:S61)</f>
        <v>270182156</v>
      </c>
      <c r="T62" s="43">
        <f>SUM(T49:T61)</f>
        <v>49104022.660000004</v>
      </c>
      <c r="U62" s="39">
        <f t="shared" si="15"/>
        <v>0.18174413657428953</v>
      </c>
      <c r="V62" s="43">
        <f>SUM(V49:V61)</f>
        <v>221078133.33999997</v>
      </c>
      <c r="W62" s="43">
        <f t="shared" ref="W62:AH62" si="29">SUM(W49:W61)</f>
        <v>269482206</v>
      </c>
      <c r="X62" s="43">
        <f t="shared" si="29"/>
        <v>50381644.359999999</v>
      </c>
      <c r="Y62" s="39">
        <f t="shared" si="21"/>
        <v>0.18695722106416185</v>
      </c>
      <c r="Z62" s="43">
        <f t="shared" si="29"/>
        <v>345653526</v>
      </c>
      <c r="AA62" s="39">
        <f t="shared" si="22"/>
        <v>0.14575764622751164</v>
      </c>
      <c r="AB62" s="43">
        <f t="shared" si="29"/>
        <v>219100561.64000002</v>
      </c>
      <c r="AC62" s="43">
        <f t="shared" si="29"/>
        <v>255607673</v>
      </c>
      <c r="AD62" s="43">
        <f t="shared" si="29"/>
        <v>41827577.430000007</v>
      </c>
      <c r="AE62" s="39">
        <f t="shared" si="24"/>
        <v>0.16363975673766259</v>
      </c>
      <c r="AF62" s="43">
        <f t="shared" si="29"/>
        <v>322179771</v>
      </c>
      <c r="AG62" s="39">
        <f t="shared" si="25"/>
        <v>0.12982682711634308</v>
      </c>
      <c r="AH62" s="43">
        <f t="shared" si="29"/>
        <v>213780095.56999999</v>
      </c>
    </row>
    <row r="63" spans="1:34" ht="13.5" thickTop="1">
      <c r="J63" s="79"/>
    </row>
    <row r="64" spans="1:34">
      <c r="J64" s="79"/>
    </row>
    <row r="65" spans="10:10">
      <c r="J65" s="79"/>
    </row>
    <row r="66" spans="10:10">
      <c r="J66" s="79"/>
    </row>
    <row r="67" spans="10:10">
      <c r="J67" s="79"/>
    </row>
    <row r="68" spans="10:10">
      <c r="J68" s="79"/>
    </row>
    <row r="69" spans="10:10">
      <c r="J69" s="79"/>
    </row>
    <row r="70" spans="10:10">
      <c r="J70" s="79"/>
    </row>
    <row r="71" spans="10:10">
      <c r="J71" s="79"/>
    </row>
    <row r="72" spans="10:10">
      <c r="J72" s="79"/>
    </row>
    <row r="73" spans="10:10">
      <c r="J73" s="79"/>
    </row>
    <row r="74" spans="10:10">
      <c r="J74" s="79"/>
    </row>
    <row r="75" spans="10:10">
      <c r="J75" s="79"/>
    </row>
    <row r="76" spans="10:10">
      <c r="J76" s="80"/>
    </row>
    <row r="77" spans="10:10">
      <c r="J77" s="81"/>
    </row>
  </sheetData>
  <mergeCells count="28">
    <mergeCell ref="B3:D3"/>
    <mergeCell ref="A13:F13"/>
    <mergeCell ref="A14:F1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46:F46"/>
    <mergeCell ref="A48:B48"/>
    <mergeCell ref="A49:B49"/>
    <mergeCell ref="A50:B50"/>
    <mergeCell ref="A51:B51"/>
    <mergeCell ref="A52:B52"/>
    <mergeCell ref="A59:B59"/>
    <mergeCell ref="A60:B60"/>
    <mergeCell ref="A61:B61"/>
    <mergeCell ref="A62:B62"/>
    <mergeCell ref="A53:B53"/>
    <mergeCell ref="A54:B54"/>
    <mergeCell ref="A55:B55"/>
    <mergeCell ref="A56:B56"/>
    <mergeCell ref="A57:B57"/>
    <mergeCell ref="A58:B58"/>
  </mergeCells>
  <printOptions horizontalCentered="1"/>
  <pageMargins left="0.5" right="0.5" top="0.5" bottom="0.5" header="0.5" footer="0.5"/>
  <pageSetup orientation="portrait" r:id="rId1"/>
  <headerFooter alignWithMargins="0"/>
  <rowBreaks count="1" manualBreakCount="1">
    <brk id="89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3"/>
  <sheetViews>
    <sheetView topLeftCell="J28" zoomScaleNormal="100" workbookViewId="0">
      <selection activeCell="Z49" sqref="Z49:Z61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7.625" style="2" bestFit="1" customWidth="1"/>
    <col min="6" max="6" width="19.125" style="2" customWidth="1"/>
    <col min="7" max="7" width="14.5" style="2" bestFit="1" customWidth="1"/>
    <col min="8" max="8" width="18.25" style="2" customWidth="1"/>
    <col min="9" max="9" width="13.25" style="2" bestFit="1" customWidth="1"/>
    <col min="10" max="10" width="27.25" style="2" bestFit="1" customWidth="1"/>
    <col min="11" max="11" width="14" style="2" bestFit="1" customWidth="1"/>
    <col min="12" max="12" width="13.125" style="2" bestFit="1" customWidth="1"/>
    <col min="13" max="13" width="10.25" style="2" customWidth="1"/>
    <col min="14" max="14" width="11.5" style="2" customWidth="1"/>
    <col min="15" max="15" width="11.125" style="2" bestFit="1" customWidth="1"/>
    <col min="16" max="16" width="13.25" style="2" bestFit="1" customWidth="1"/>
    <col min="17" max="17" width="12.125" style="2" customWidth="1"/>
    <col min="18" max="18" width="12.5" style="2" bestFit="1" customWidth="1"/>
    <col min="19" max="19" width="13" style="2" customWidth="1"/>
    <col min="20" max="20" width="12.5" style="2" bestFit="1" customWidth="1"/>
    <col min="21" max="21" width="11.125" style="2" bestFit="1" customWidth="1"/>
    <col min="22" max="22" width="11.5" style="2" customWidth="1"/>
    <col min="23" max="23" width="12.625" style="2" customWidth="1"/>
    <col min="24" max="24" width="11.125" style="2" bestFit="1" customWidth="1"/>
    <col min="25" max="25" width="13.375" style="2" customWidth="1"/>
    <col min="26" max="26" width="12.5" style="2" bestFit="1" customWidth="1"/>
    <col min="27" max="27" width="9" style="2"/>
    <col min="28" max="28" width="11.75" style="2" customWidth="1"/>
    <col min="29" max="29" width="9" style="2"/>
    <col min="30" max="30" width="14.125" style="2" customWidth="1"/>
    <col min="31" max="16384" width="9" style="2"/>
  </cols>
  <sheetData>
    <row r="1" spans="1:24" ht="15.95" customHeight="1">
      <c r="E1" s="3"/>
      <c r="F1" s="3" t="s">
        <v>23</v>
      </c>
    </row>
    <row r="2" spans="1:24" ht="15.95" customHeight="1">
      <c r="E2" s="3"/>
      <c r="F2" s="3" t="s">
        <v>52</v>
      </c>
    </row>
    <row r="3" spans="1:24" ht="15.95" customHeight="1">
      <c r="B3" s="127" t="s">
        <v>41</v>
      </c>
      <c r="C3" s="127"/>
      <c r="D3" s="127"/>
      <c r="E3" s="3"/>
      <c r="F3" s="3" t="s">
        <v>53</v>
      </c>
    </row>
    <row r="4" spans="1:24" ht="15.95" customHeight="1">
      <c r="E4" s="3"/>
      <c r="F4" s="3" t="s">
        <v>54</v>
      </c>
    </row>
    <row r="5" spans="1:24" ht="15.95" customHeight="1">
      <c r="E5" s="3"/>
      <c r="F5" s="3" t="s">
        <v>24</v>
      </c>
    </row>
    <row r="6" spans="1:24" ht="15.75">
      <c r="A6" s="4"/>
      <c r="B6" s="4"/>
      <c r="C6" s="4"/>
      <c r="D6" s="5"/>
      <c r="E6" s="5"/>
      <c r="F6" s="4"/>
    </row>
    <row r="7" spans="1:24" ht="15.75">
      <c r="D7" s="3"/>
      <c r="E7" s="3"/>
    </row>
    <row r="8" spans="1:24" ht="19.5" customHeight="1">
      <c r="A8" s="6" t="s">
        <v>36</v>
      </c>
      <c r="B8" s="7" t="s">
        <v>37</v>
      </c>
    </row>
    <row r="9" spans="1:24" ht="19.5" customHeight="1">
      <c r="A9" s="6" t="s">
        <v>38</v>
      </c>
      <c r="B9" s="7" t="s">
        <v>93</v>
      </c>
    </row>
    <row r="10" spans="1:24" ht="19.5" customHeight="1">
      <c r="A10" s="6" t="s">
        <v>39</v>
      </c>
      <c r="B10" s="8">
        <v>40831</v>
      </c>
    </row>
    <row r="11" spans="1:24" ht="19.5" customHeight="1">
      <c r="A11" s="6" t="s">
        <v>40</v>
      </c>
      <c r="B11" s="7" t="s">
        <v>179</v>
      </c>
    </row>
    <row r="12" spans="1:24" ht="19.5" customHeight="1">
      <c r="A12" s="6"/>
      <c r="B12" s="7"/>
    </row>
    <row r="13" spans="1:24" ht="17.25" customHeight="1">
      <c r="A13" s="132"/>
      <c r="B13" s="132"/>
      <c r="C13" s="132"/>
      <c r="D13" s="132"/>
      <c r="E13" s="132"/>
      <c r="F13" s="132"/>
    </row>
    <row r="14" spans="1:24" ht="24" customHeight="1">
      <c r="A14" s="133" t="s">
        <v>172</v>
      </c>
      <c r="B14" s="133"/>
      <c r="C14" s="133"/>
      <c r="D14" s="133"/>
      <c r="E14" s="133"/>
      <c r="F14" s="133"/>
    </row>
    <row r="15" spans="1:24">
      <c r="K15" s="34"/>
      <c r="L15" s="34"/>
      <c r="M15" s="34"/>
      <c r="N15" s="34"/>
    </row>
    <row r="16" spans="1:24" ht="38.25">
      <c r="A16" s="134"/>
      <c r="B16" s="134"/>
      <c r="C16" s="9" t="s">
        <v>151</v>
      </c>
      <c r="D16" s="9" t="s">
        <v>180</v>
      </c>
      <c r="E16" s="9" t="s">
        <v>25</v>
      </c>
      <c r="F16" s="9" t="s">
        <v>181</v>
      </c>
      <c r="G16" s="10">
        <v>1</v>
      </c>
      <c r="H16" s="2" t="s">
        <v>42</v>
      </c>
      <c r="I16" s="10">
        <v>1</v>
      </c>
      <c r="K16" s="9" t="s">
        <v>151</v>
      </c>
      <c r="L16" s="9" t="s">
        <v>152</v>
      </c>
      <c r="M16" s="9">
        <v>2011</v>
      </c>
      <c r="N16" s="9" t="s">
        <v>94</v>
      </c>
      <c r="O16" s="9" t="s">
        <v>183</v>
      </c>
      <c r="P16" s="9">
        <v>2010</v>
      </c>
      <c r="Q16" s="9" t="s">
        <v>1</v>
      </c>
      <c r="R16" s="9" t="s">
        <v>184</v>
      </c>
      <c r="S16" s="9" t="s">
        <v>106</v>
      </c>
      <c r="T16" s="9">
        <v>2009</v>
      </c>
      <c r="U16" s="9" t="s">
        <v>104</v>
      </c>
      <c r="V16" s="9" t="s">
        <v>185</v>
      </c>
      <c r="W16" s="9" t="s">
        <v>107</v>
      </c>
      <c r="X16" s="9">
        <v>2008</v>
      </c>
    </row>
    <row r="17" spans="1:24" ht="15.75" customHeight="1">
      <c r="A17" s="131" t="s">
        <v>26</v>
      </c>
      <c r="B17" s="131"/>
      <c r="C17" s="11">
        <f>K17</f>
        <v>170741229</v>
      </c>
      <c r="D17" s="11">
        <f>L17</f>
        <v>170756658</v>
      </c>
      <c r="E17" s="12">
        <f t="shared" ref="E17:E24" si="0">(D17/C17)</f>
        <v>1.0000903648175099</v>
      </c>
      <c r="F17" s="29">
        <f t="shared" ref="F17:F23" si="1">D17-G17</f>
        <v>15429</v>
      </c>
      <c r="G17" s="14">
        <f>C17</f>
        <v>170741229</v>
      </c>
      <c r="H17" s="15">
        <v>0</v>
      </c>
      <c r="I17" s="10">
        <v>1</v>
      </c>
      <c r="J17" s="21" t="str">
        <f>A17</f>
        <v>Current / Delinquent Taxes</v>
      </c>
      <c r="K17" s="82">
        <v>170741229</v>
      </c>
      <c r="L17" s="82">
        <v>170756658</v>
      </c>
      <c r="M17" s="41">
        <f t="shared" ref="M17:M24" si="2">(L17/K17)</f>
        <v>1.0000903648175099</v>
      </c>
      <c r="N17" s="11">
        <v>175930506</v>
      </c>
      <c r="O17" s="11">
        <v>175146677.47</v>
      </c>
      <c r="P17" s="12">
        <f t="shared" ref="P17:P24" si="3">(O17/N17)</f>
        <v>0.99554466960948773</v>
      </c>
      <c r="Q17" s="11">
        <f>'FY 2009 Rev 01-15-10'!E3</f>
        <v>173590951</v>
      </c>
      <c r="R17" s="11">
        <f>SUM('FY 2009 Rev 01-15-10'!F3:Q3)</f>
        <v>174579261.34</v>
      </c>
      <c r="S17" s="11">
        <f>'FY 2009 Rev 01-15-10'!D3</f>
        <v>174870775.59</v>
      </c>
      <c r="T17" s="12">
        <f t="shared" ref="T17:T24" si="4">R17/S17</f>
        <v>0.99833297331119819</v>
      </c>
      <c r="U17" s="11">
        <f>'FY 2008 Rev 01-15-10'!E3</f>
        <v>171068428</v>
      </c>
      <c r="V17" s="11">
        <f>SUM('FY 2008 Rev 01-15-10'!F3:Q3)</f>
        <v>171077825.91999999</v>
      </c>
      <c r="W17" s="11">
        <f>'FY 2008 Rev 01-15-10'!D3</f>
        <v>171077825.91999999</v>
      </c>
      <c r="X17" s="12">
        <f t="shared" ref="X17:X24" si="5">V17/W17</f>
        <v>1</v>
      </c>
    </row>
    <row r="18" spans="1:24" ht="15.75" customHeight="1">
      <c r="A18" s="131" t="s">
        <v>95</v>
      </c>
      <c r="B18" s="131"/>
      <c r="C18" s="16">
        <f>K18</f>
        <v>246000</v>
      </c>
      <c r="D18" s="16">
        <f>L18</f>
        <v>315483</v>
      </c>
      <c r="E18" s="12">
        <f>(D18/C18)</f>
        <v>1.2824512195121951</v>
      </c>
      <c r="F18" s="22">
        <f>D18-G18</f>
        <v>69483</v>
      </c>
      <c r="G18" s="14">
        <f t="shared" ref="G18:G24" si="6">C18</f>
        <v>246000</v>
      </c>
      <c r="H18" s="15">
        <v>0</v>
      </c>
      <c r="I18" s="10">
        <v>1</v>
      </c>
      <c r="J18" s="21" t="str">
        <f t="shared" ref="J18:J23" si="7">A18</f>
        <v>License / Permits</v>
      </c>
      <c r="K18" s="83">
        <v>246000</v>
      </c>
      <c r="L18" s="83">
        <v>315483</v>
      </c>
      <c r="M18" s="41">
        <f t="shared" si="2"/>
        <v>1.2824512195121951</v>
      </c>
      <c r="N18" s="16">
        <v>335854</v>
      </c>
      <c r="O18" s="28">
        <v>254648.6</v>
      </c>
      <c r="P18" s="12">
        <f t="shared" si="3"/>
        <v>0.75821219934852646</v>
      </c>
      <c r="Q18" s="28">
        <f>'FY 2009 Rev 01-15-10'!E6</f>
        <v>650650</v>
      </c>
      <c r="R18" s="28">
        <f>SUM('FY 2009 Rev 01-15-10'!F6:Q6)</f>
        <v>283482.13999999996</v>
      </c>
      <c r="S18" s="28">
        <f>'FY 2009 Rev 01-15-10'!D6</f>
        <v>283457.14</v>
      </c>
      <c r="T18" s="12">
        <f t="shared" si="4"/>
        <v>1.0000881967552482</v>
      </c>
      <c r="U18" s="28">
        <f>'FY 2008 Rev 01-15-10'!E6</f>
        <v>826700</v>
      </c>
      <c r="V18" s="28">
        <f>SUM('FY 2008 Rev 01-15-10'!F6:Q6)</f>
        <v>653856.60000000009</v>
      </c>
      <c r="W18" s="28">
        <f>'FY 2008 Rev 01-15-10'!D6</f>
        <v>653856.6</v>
      </c>
      <c r="X18" s="12">
        <f t="shared" si="5"/>
        <v>1.0000000000000002</v>
      </c>
    </row>
    <row r="19" spans="1:24" ht="15.75" customHeight="1">
      <c r="A19" s="131" t="s">
        <v>51</v>
      </c>
      <c r="B19" s="131"/>
      <c r="C19" s="16">
        <f t="shared" ref="C19:D23" si="8">K19</f>
        <v>10310296</v>
      </c>
      <c r="D19" s="16">
        <f t="shared" si="8"/>
        <v>19224767</v>
      </c>
      <c r="E19" s="12">
        <f t="shared" si="0"/>
        <v>1.864618338794541</v>
      </c>
      <c r="F19" s="22">
        <f t="shared" si="1"/>
        <v>8914471</v>
      </c>
      <c r="G19" s="14">
        <f t="shared" si="6"/>
        <v>10310296</v>
      </c>
      <c r="H19" s="15">
        <v>0</v>
      </c>
      <c r="I19" s="10">
        <v>1</v>
      </c>
      <c r="J19" s="21" t="str">
        <f t="shared" si="7"/>
        <v>Intergovernmental Revenue</v>
      </c>
      <c r="K19" s="83">
        <v>10310296</v>
      </c>
      <c r="L19" s="83">
        <v>19224767</v>
      </c>
      <c r="M19" s="41">
        <f t="shared" si="2"/>
        <v>1.864618338794541</v>
      </c>
      <c r="N19" s="16">
        <v>10763558</v>
      </c>
      <c r="O19" s="28">
        <v>32364689.369999997</v>
      </c>
      <c r="P19" s="12">
        <f t="shared" si="3"/>
        <v>3.0068764780196284</v>
      </c>
      <c r="Q19" s="28">
        <f>'FY 2009 Rev 01-15-10'!E13</f>
        <v>9723482</v>
      </c>
      <c r="R19" s="28">
        <f>SUM('FY 2009 Rev 01-15-10'!F13:Q13)</f>
        <v>18387550.899999999</v>
      </c>
      <c r="S19" s="28">
        <f>'FY 2009 Rev 01-15-10'!D13</f>
        <v>18664970.830000002</v>
      </c>
      <c r="T19" s="12">
        <f t="shared" si="4"/>
        <v>0.98513686774403586</v>
      </c>
      <c r="U19" s="28">
        <f>'FY 2008 Rev 01-15-10'!E12</f>
        <v>14349223</v>
      </c>
      <c r="V19" s="28">
        <f>SUM('FY 2008 Rev 01-15-10'!F12:Q12)</f>
        <v>16017505.82</v>
      </c>
      <c r="W19" s="28">
        <f>'FY 2008 Rev 01-15-10'!D12</f>
        <v>16017505.82</v>
      </c>
      <c r="X19" s="12">
        <f t="shared" si="5"/>
        <v>1</v>
      </c>
    </row>
    <row r="20" spans="1:24" ht="15.75" customHeight="1">
      <c r="A20" s="131" t="s">
        <v>2</v>
      </c>
      <c r="B20" s="131"/>
      <c r="C20" s="16">
        <f t="shared" si="8"/>
        <v>38925096</v>
      </c>
      <c r="D20" s="16">
        <f t="shared" si="8"/>
        <v>38583245</v>
      </c>
      <c r="E20" s="12">
        <f t="shared" si="0"/>
        <v>0.99121772236605399</v>
      </c>
      <c r="F20" s="22">
        <f t="shared" si="1"/>
        <v>-341851</v>
      </c>
      <c r="G20" s="14">
        <f t="shared" si="6"/>
        <v>38925096</v>
      </c>
      <c r="H20" s="15">
        <f>C20-D20</f>
        <v>341851</v>
      </c>
      <c r="I20" s="10">
        <v>1</v>
      </c>
      <c r="J20" s="21" t="str">
        <f t="shared" si="7"/>
        <v>Fees/Charges for Services</v>
      </c>
      <c r="K20" s="83">
        <v>38925096</v>
      </c>
      <c r="L20" s="83">
        <v>38583245</v>
      </c>
      <c r="M20" s="41">
        <f t="shared" si="2"/>
        <v>0.99121772236605399</v>
      </c>
      <c r="N20" s="16">
        <v>40351226</v>
      </c>
      <c r="O20" s="28">
        <v>36866202.479999997</v>
      </c>
      <c r="P20" s="12">
        <f t="shared" si="3"/>
        <v>0.91363277239705176</v>
      </c>
      <c r="Q20" s="28">
        <f>'FY 2009 Rev 01-15-10'!E21</f>
        <v>38656872</v>
      </c>
      <c r="R20" s="28">
        <f>SUM('FY 2009 Rev 01-15-10'!F21:Q21)</f>
        <v>38118100.980000004</v>
      </c>
      <c r="S20" s="28">
        <f>'FY 2009 Rev 01-15-10'!D21</f>
        <v>38824923.710000001</v>
      </c>
      <c r="T20" s="12">
        <f t="shared" si="4"/>
        <v>0.98179461380839894</v>
      </c>
      <c r="U20" s="28">
        <f>'FY 2008 Rev 01-15-10'!E20</f>
        <v>34135331</v>
      </c>
      <c r="V20" s="28">
        <f>SUM('FY 2008 Rev 01-15-10'!F20:Q20)</f>
        <v>39520826.650000006</v>
      </c>
      <c r="W20" s="28">
        <f>'FY 2008 Rev 01-15-10'!D20</f>
        <v>39520826.649999999</v>
      </c>
      <c r="X20" s="12">
        <f t="shared" si="5"/>
        <v>1.0000000000000002</v>
      </c>
    </row>
    <row r="21" spans="1:24" ht="15.75" customHeight="1">
      <c r="A21" s="131" t="s">
        <v>4</v>
      </c>
      <c r="B21" s="131"/>
      <c r="C21" s="16">
        <f t="shared" si="8"/>
        <v>3814000</v>
      </c>
      <c r="D21" s="16">
        <f t="shared" si="8"/>
        <v>3808740</v>
      </c>
      <c r="E21" s="12">
        <f t="shared" si="0"/>
        <v>0.99862087047718928</v>
      </c>
      <c r="F21" s="22">
        <f t="shared" si="1"/>
        <v>-5260</v>
      </c>
      <c r="G21" s="14">
        <f t="shared" si="6"/>
        <v>3814000</v>
      </c>
      <c r="H21" s="15">
        <f>C21-D21</f>
        <v>5260</v>
      </c>
      <c r="I21" s="10">
        <v>1</v>
      </c>
      <c r="J21" s="21" t="str">
        <f t="shared" si="7"/>
        <v>Fines</v>
      </c>
      <c r="K21" s="83">
        <v>3814000</v>
      </c>
      <c r="L21" s="83">
        <v>3808740</v>
      </c>
      <c r="M21" s="41">
        <f t="shared" si="2"/>
        <v>0.99862087047718928</v>
      </c>
      <c r="N21" s="16">
        <v>4596375</v>
      </c>
      <c r="O21" s="28">
        <v>3808418.44</v>
      </c>
      <c r="P21" s="12">
        <f t="shared" si="3"/>
        <v>0.82857000135976722</v>
      </c>
      <c r="Q21" s="28">
        <f>'FY 2009 Rev 01-15-10'!E23</f>
        <v>4675500</v>
      </c>
      <c r="R21" s="28">
        <f>SUM('FY 2009 Rev 01-15-10'!F23:Q23)</f>
        <v>4422052.07</v>
      </c>
      <c r="S21" s="28">
        <f>'FY 2009 Rev 01-15-10'!D23</f>
        <v>4484058.21</v>
      </c>
      <c r="T21" s="12">
        <f t="shared" si="4"/>
        <v>0.98617186996776307</v>
      </c>
      <c r="U21" s="28">
        <f>'FY 2008 Rev 01-15-10'!E22</f>
        <v>5009825</v>
      </c>
      <c r="V21" s="28">
        <f>SUM('FY 2008 Rev 01-15-10'!F22:Q22)</f>
        <v>5028905.6099999994</v>
      </c>
      <c r="W21" s="28">
        <f>'FY 2008 Rev 01-15-10'!D22</f>
        <v>5028905.6100000003</v>
      </c>
      <c r="X21" s="12">
        <f t="shared" si="5"/>
        <v>0.99999999999999978</v>
      </c>
    </row>
    <row r="22" spans="1:24" ht="15.75" customHeight="1">
      <c r="A22" s="131" t="s">
        <v>3</v>
      </c>
      <c r="B22" s="131"/>
      <c r="C22" s="16">
        <f t="shared" si="8"/>
        <v>3023647</v>
      </c>
      <c r="D22" s="16">
        <f t="shared" si="8"/>
        <v>3762327</v>
      </c>
      <c r="E22" s="12">
        <f t="shared" si="0"/>
        <v>1.2443010047138439</v>
      </c>
      <c r="F22" s="22">
        <f t="shared" si="1"/>
        <v>738680</v>
      </c>
      <c r="G22" s="14">
        <f t="shared" si="6"/>
        <v>3023647</v>
      </c>
      <c r="H22" s="15">
        <v>0</v>
      </c>
      <c r="I22" s="10">
        <v>1</v>
      </c>
      <c r="J22" s="21" t="str">
        <f t="shared" si="7"/>
        <v>Investment Revenue</v>
      </c>
      <c r="K22" s="83">
        <v>3023647</v>
      </c>
      <c r="L22" s="83">
        <v>3762327</v>
      </c>
      <c r="M22" s="41">
        <f t="shared" si="2"/>
        <v>1.2443010047138439</v>
      </c>
      <c r="N22" s="16">
        <v>6218768</v>
      </c>
      <c r="O22" s="28">
        <v>5366504.47</v>
      </c>
      <c r="P22" s="12">
        <f t="shared" si="3"/>
        <v>0.86295299486972332</v>
      </c>
      <c r="Q22" s="28">
        <f>'FY 2009 Rev 01-15-10'!E26</f>
        <v>9130674</v>
      </c>
      <c r="R22" s="28">
        <f>SUM('FY 2009 Rev 01-15-10'!F26:Q26)</f>
        <v>8323258.3000000017</v>
      </c>
      <c r="S22" s="28">
        <f>'FY 2009 Rev 01-15-10'!D26</f>
        <v>8875084.7300000004</v>
      </c>
      <c r="T22" s="12">
        <f t="shared" si="4"/>
        <v>0.93782296769126183</v>
      </c>
      <c r="U22" s="28">
        <v>13003197</v>
      </c>
      <c r="V22" s="28">
        <f>SUM('FY 2008 Rev 01-15-10'!F25:Q25)</f>
        <v>17328876.469999999</v>
      </c>
      <c r="W22" s="28">
        <f>'FY 2008 Rev 01-15-10'!D25</f>
        <v>17328876.469999999</v>
      </c>
      <c r="X22" s="12">
        <f t="shared" si="5"/>
        <v>1</v>
      </c>
    </row>
    <row r="23" spans="1:24" ht="15.75" customHeight="1" thickBot="1">
      <c r="A23" s="131" t="s">
        <v>27</v>
      </c>
      <c r="B23" s="131"/>
      <c r="C23" s="16">
        <f t="shared" si="8"/>
        <v>29807534</v>
      </c>
      <c r="D23" s="16">
        <f t="shared" si="8"/>
        <v>61632562</v>
      </c>
      <c r="E23" s="12">
        <f t="shared" si="0"/>
        <v>2.0676840291451146</v>
      </c>
      <c r="F23" s="22">
        <f t="shared" si="1"/>
        <v>31825028</v>
      </c>
      <c r="G23" s="14">
        <f t="shared" si="6"/>
        <v>29807534</v>
      </c>
      <c r="H23" s="15">
        <v>0</v>
      </c>
      <c r="I23" s="10">
        <v>1</v>
      </c>
      <c r="J23" s="21" t="str">
        <f t="shared" si="7"/>
        <v>Miscellaneous</v>
      </c>
      <c r="K23" s="84">
        <f>19311594+880940+9605000+10000</f>
        <v>29807534</v>
      </c>
      <c r="L23" s="84">
        <f>23872115+1488294+36272153</f>
        <v>61632562</v>
      </c>
      <c r="M23" s="38">
        <f t="shared" si="2"/>
        <v>2.0676840291451146</v>
      </c>
      <c r="N23" s="32">
        <f>19563765+980361+9265036</f>
        <v>29809162</v>
      </c>
      <c r="O23" s="33">
        <v>34778633.700000003</v>
      </c>
      <c r="P23" s="38">
        <f t="shared" si="3"/>
        <v>1.1667095405097265</v>
      </c>
      <c r="Q23" s="33">
        <f>'FY 2009 Rev 01-15-10'!E30+'FY 2009 Rev 01-15-10'!E36+'FY 2009 Rev 01-15-10'!E43</f>
        <v>27526735</v>
      </c>
      <c r="R23" s="33">
        <f>SUM('FY 2009 Rev 01-15-10'!F30:Q30,'FY 2009 Rev 01-15-10'!F36:Q36,'FY 2009 Rev 01-15-10'!F43:Q43)</f>
        <v>130175824.75999999</v>
      </c>
      <c r="S23" s="33">
        <f>'FY 2009 Rev 01-15-10'!D30+'FY 2009 Rev 01-15-10'!D36+'FY 2009 Rev 01-15-10'!D43</f>
        <v>134307912.17000002</v>
      </c>
      <c r="T23" s="38">
        <f t="shared" si="4"/>
        <v>0.96923422199602183</v>
      </c>
      <c r="U23" s="33">
        <f>'FY 2008 Rev 01-15-10'!E29+'FY 2008 Rev 01-15-10'!E35+'FY 2008 Rev 01-15-10'!E41</f>
        <v>26955037</v>
      </c>
      <c r="V23" s="33">
        <f>SUM('FY 2008 Rev 01-15-10'!F29:Q29,'FY 2008 Rev 01-15-10'!F35:Q35,'FY 2008 Rev 01-15-10'!F41:Q41)</f>
        <v>103901511.08</v>
      </c>
      <c r="W23" s="33">
        <f>'FY 2008 Rev 01-15-10'!D29+'FY 2008 Rev 01-15-10'!D35+'FY 2008 Rev 01-15-10'!D41</f>
        <v>103901511.08000001</v>
      </c>
      <c r="X23" s="38">
        <f t="shared" si="5"/>
        <v>0.99999999999999989</v>
      </c>
    </row>
    <row r="24" spans="1:24" ht="15.75" customHeight="1" thickBot="1">
      <c r="A24" s="137" t="s">
        <v>28</v>
      </c>
      <c r="B24" s="137"/>
      <c r="C24" s="11">
        <f>SUM(C17:C23)</f>
        <v>256867802</v>
      </c>
      <c r="D24" s="11">
        <f>SUM(D17:D23)</f>
        <v>298083782</v>
      </c>
      <c r="E24" s="12">
        <f t="shared" si="0"/>
        <v>1.1604559998531851</v>
      </c>
      <c r="F24" s="17">
        <f>SUM(F17:F23)</f>
        <v>41215980</v>
      </c>
      <c r="G24" s="14">
        <f t="shared" si="6"/>
        <v>256867802</v>
      </c>
      <c r="H24" s="27"/>
      <c r="J24" s="21"/>
      <c r="K24" s="85">
        <f>SUM(K17:K23)</f>
        <v>256867802</v>
      </c>
      <c r="L24" s="85">
        <f>SUM(L17:L23)</f>
        <v>298083782</v>
      </c>
      <c r="M24" s="39">
        <f t="shared" si="2"/>
        <v>1.1604559998531851</v>
      </c>
      <c r="N24" s="31">
        <f>SUM(N17:N23)</f>
        <v>268005449</v>
      </c>
      <c r="O24" s="31">
        <f>SUM(O17:O23)</f>
        <v>288585774.52999997</v>
      </c>
      <c r="P24" s="39">
        <f t="shared" si="3"/>
        <v>1.0767906981249473</v>
      </c>
      <c r="Q24" s="31">
        <f>SUM(Q17:Q23)</f>
        <v>263954864</v>
      </c>
      <c r="R24" s="31">
        <f>SUM(R17:R23)</f>
        <v>374289530.49000001</v>
      </c>
      <c r="S24" s="31">
        <f>SUM(S17:S23)</f>
        <v>380311182.38</v>
      </c>
      <c r="T24" s="39">
        <f t="shared" si="4"/>
        <v>0.98416651371564656</v>
      </c>
      <c r="U24" s="31">
        <f>SUM(U17:U23)</f>
        <v>265347741</v>
      </c>
      <c r="V24" s="31">
        <f>SUM(V17:V23)</f>
        <v>353529308.14999998</v>
      </c>
      <c r="W24" s="31">
        <f>SUM(W17:W23)</f>
        <v>353529308.14999998</v>
      </c>
      <c r="X24" s="39">
        <f t="shared" si="5"/>
        <v>1</v>
      </c>
    </row>
    <row r="25" spans="1:24" ht="22.5" customHeight="1" thickTop="1">
      <c r="J25" s="21"/>
      <c r="K25" s="26"/>
    </row>
    <row r="26" spans="1:24">
      <c r="J26" s="21"/>
      <c r="K26" s="26"/>
    </row>
    <row r="29" spans="1:24">
      <c r="L29" s="92"/>
    </row>
    <row r="31" spans="1:24">
      <c r="M31" s="93"/>
    </row>
    <row r="40" spans="1:30">
      <c r="J40" s="35"/>
      <c r="K40" s="35"/>
    </row>
    <row r="41" spans="1:30">
      <c r="J41" s="35"/>
      <c r="K41" s="35"/>
    </row>
    <row r="42" spans="1:30">
      <c r="J42" s="35"/>
      <c r="K42" s="35"/>
    </row>
    <row r="43" spans="1:30">
      <c r="J43" s="35"/>
      <c r="K43" s="35"/>
    </row>
    <row r="44" spans="1:30">
      <c r="J44" s="35"/>
      <c r="K44" s="35"/>
    </row>
    <row r="45" spans="1:30">
      <c r="J45" s="35"/>
      <c r="K45" s="35"/>
    </row>
    <row r="46" spans="1:30" ht="39.75" customHeight="1">
      <c r="A46" s="133" t="s">
        <v>173</v>
      </c>
      <c r="B46" s="133"/>
      <c r="C46" s="133"/>
      <c r="D46" s="133"/>
      <c r="E46" s="133"/>
      <c r="F46" s="133"/>
      <c r="J46" s="35"/>
      <c r="K46" s="35"/>
    </row>
    <row r="47" spans="1:30" ht="12" customHeight="1">
      <c r="B47" s="18"/>
      <c r="C47" s="18"/>
      <c r="D47" s="18"/>
      <c r="E47" s="18"/>
      <c r="J47" s="35"/>
      <c r="K47" s="35"/>
    </row>
    <row r="48" spans="1:30" ht="36" customHeight="1">
      <c r="A48" s="138"/>
      <c r="B48" s="138"/>
      <c r="C48" s="19" t="s">
        <v>151</v>
      </c>
      <c r="D48" s="19" t="s">
        <v>182</v>
      </c>
      <c r="E48" s="19" t="s">
        <v>25</v>
      </c>
      <c r="F48" s="9" t="s">
        <v>181</v>
      </c>
      <c r="G48" s="10">
        <v>1</v>
      </c>
      <c r="H48" s="2" t="s">
        <v>43</v>
      </c>
      <c r="K48" s="40" t="s">
        <v>151</v>
      </c>
      <c r="L48" s="36" t="s">
        <v>155</v>
      </c>
      <c r="M48" s="37">
        <v>2011</v>
      </c>
      <c r="N48" s="36" t="s">
        <v>156</v>
      </c>
      <c r="O48" s="40" t="s">
        <v>94</v>
      </c>
      <c r="P48" s="36" t="s">
        <v>186</v>
      </c>
      <c r="Q48" s="37">
        <v>2010</v>
      </c>
      <c r="R48" s="36" t="s">
        <v>109</v>
      </c>
      <c r="S48" s="36" t="s">
        <v>1</v>
      </c>
      <c r="T48" s="36" t="s">
        <v>187</v>
      </c>
      <c r="U48" s="37">
        <v>2009</v>
      </c>
      <c r="V48" s="36" t="s">
        <v>111</v>
      </c>
      <c r="W48" s="36">
        <v>2009</v>
      </c>
      <c r="X48" s="36" t="s">
        <v>112</v>
      </c>
      <c r="Y48" s="36" t="s">
        <v>104</v>
      </c>
      <c r="Z48" s="36" t="s">
        <v>188</v>
      </c>
      <c r="AA48" s="37">
        <v>2008</v>
      </c>
      <c r="AB48" s="36" t="s">
        <v>114</v>
      </c>
      <c r="AC48" s="36">
        <v>2008</v>
      </c>
      <c r="AD48" s="36" t="s">
        <v>115</v>
      </c>
    </row>
    <row r="49" spans="1:30" ht="15.75" customHeight="1">
      <c r="A49" s="135" t="s">
        <v>29</v>
      </c>
      <c r="B49" s="136"/>
      <c r="C49" s="11">
        <f>K49</f>
        <v>359430</v>
      </c>
      <c r="D49" s="91">
        <f>L49</f>
        <v>286971</v>
      </c>
      <c r="E49" s="12">
        <f t="shared" ref="E49:E62" si="9">(D49/C49)</f>
        <v>0.79840580919789672</v>
      </c>
      <c r="F49" s="11">
        <f>+G49-D49</f>
        <v>72459</v>
      </c>
      <c r="G49" s="23">
        <f>C49</f>
        <v>359430</v>
      </c>
      <c r="H49" s="24">
        <f>IF(C49&gt;D49,C49-D49,0)</f>
        <v>72459</v>
      </c>
      <c r="I49" s="1">
        <v>1</v>
      </c>
      <c r="J49" s="35" t="s">
        <v>29</v>
      </c>
      <c r="K49" s="13">
        <v>359430</v>
      </c>
      <c r="L49" s="82">
        <v>286971</v>
      </c>
      <c r="M49" s="41">
        <f t="shared" ref="M49:M62" si="10">(L49/K49)</f>
        <v>0.79840580919789672</v>
      </c>
      <c r="N49" s="13">
        <f>K49-L49</f>
        <v>72459</v>
      </c>
      <c r="O49" s="13">
        <v>346531</v>
      </c>
      <c r="P49" s="13">
        <v>277303.21999999997</v>
      </c>
      <c r="Q49" s="41">
        <f t="shared" ref="Q49:Q62" si="11">(P49/O49)</f>
        <v>0.80022630010013529</v>
      </c>
      <c r="R49" s="13">
        <f>O49-P49</f>
        <v>69227.780000000028</v>
      </c>
      <c r="S49" s="13">
        <f>'FY 2009 Exp 01-15-10'!C2</f>
        <v>351630</v>
      </c>
      <c r="T49" s="13">
        <v>321178.05000000005</v>
      </c>
      <c r="U49" s="41">
        <f>T49/S49</f>
        <v>0.91339774763245474</v>
      </c>
      <c r="V49" s="13">
        <f>'FY 2009 Exp 01-15-10'!D2</f>
        <v>525313</v>
      </c>
      <c r="W49" s="41">
        <f>T49/V49</f>
        <v>0.61140320151985583</v>
      </c>
      <c r="X49" s="13">
        <f>S49-T49</f>
        <v>30451.949999999953</v>
      </c>
      <c r="Y49" s="13">
        <f>'FY 2008 Exp 01-15-10'!C2</f>
        <v>370277</v>
      </c>
      <c r="Z49" s="13">
        <v>541830.66</v>
      </c>
      <c r="AA49" s="41">
        <f>Z49/Y49</f>
        <v>1.463311682875253</v>
      </c>
      <c r="AB49" s="13">
        <f>'FY 2008 Exp 01-15-10'!D2</f>
        <v>727556</v>
      </c>
      <c r="AC49" s="41">
        <f>Z49/AB49</f>
        <v>0.74472708629988627</v>
      </c>
      <c r="AD49" s="13">
        <f>Y49-Z49</f>
        <v>-171553.66000000003</v>
      </c>
    </row>
    <row r="50" spans="1:30" ht="15.75" customHeight="1">
      <c r="A50" s="135" t="s">
        <v>116</v>
      </c>
      <c r="B50" s="136"/>
      <c r="C50" s="88">
        <f t="shared" ref="C50:D61" si="12">K50</f>
        <v>1134812</v>
      </c>
      <c r="D50" s="90">
        <f t="shared" si="12"/>
        <v>1040599</v>
      </c>
      <c r="E50" s="12">
        <f t="shared" si="9"/>
        <v>0.91697920007895584</v>
      </c>
      <c r="F50" s="22">
        <f t="shared" ref="F50:F62" si="13">+G50-D50</f>
        <v>94213</v>
      </c>
      <c r="G50" s="23">
        <f t="shared" ref="G50:G62" si="14">C50</f>
        <v>1134812</v>
      </c>
      <c r="H50" s="24">
        <f t="shared" ref="H50:H62" si="15">IF(C50&gt;D50,C50-D50,0)</f>
        <v>94213</v>
      </c>
      <c r="I50" s="1">
        <v>1</v>
      </c>
      <c r="J50" s="35" t="s">
        <v>116</v>
      </c>
      <c r="K50" s="83">
        <v>1134812</v>
      </c>
      <c r="L50" s="86">
        <v>1040599</v>
      </c>
      <c r="M50" s="41">
        <f t="shared" si="10"/>
        <v>0.91697920007895584</v>
      </c>
      <c r="N50" s="42">
        <f t="shared" ref="N50:N61" si="16">K50-L50</f>
        <v>94213</v>
      </c>
      <c r="O50" s="42">
        <v>1078918</v>
      </c>
      <c r="P50" s="42">
        <v>3117445.65</v>
      </c>
      <c r="Q50" s="41">
        <f t="shared" si="11"/>
        <v>2.8894185192943298</v>
      </c>
      <c r="R50" s="42">
        <f t="shared" ref="R50:R61" si="17">O50-P50</f>
        <v>-2038527.65</v>
      </c>
      <c r="S50" s="42">
        <f>'FY 2009 Exp 01-15-10'!C3</f>
        <v>1209220</v>
      </c>
      <c r="T50" s="42">
        <v>3982344.4200000009</v>
      </c>
      <c r="U50" s="41">
        <f t="shared" ref="U50:U62" si="18">T50/S50</f>
        <v>3.293316700021502</v>
      </c>
      <c r="V50" s="42">
        <f>'FY 2009 Exp 01-15-10'!D3</f>
        <v>1275791</v>
      </c>
      <c r="W50" s="41">
        <f t="shared" ref="W50:W62" si="19">T50/V50</f>
        <v>3.121470852200714</v>
      </c>
      <c r="X50" s="42">
        <f t="shared" ref="X50:X61" si="20">S50-T50</f>
        <v>-2773124.4200000009</v>
      </c>
      <c r="Y50" s="42">
        <f>'FY 2008 Exp 01-15-10'!C3</f>
        <v>1199159</v>
      </c>
      <c r="Z50" s="42">
        <v>2062703.96</v>
      </c>
      <c r="AA50" s="41">
        <f t="shared" ref="AA50:AA62" si="21">Z50/Y50</f>
        <v>1.7201254879461356</v>
      </c>
      <c r="AB50" s="42">
        <f>'FY 2008 Exp 01-15-10'!D3</f>
        <v>1238216</v>
      </c>
      <c r="AC50" s="41">
        <f t="shared" ref="AC50:AC62" si="22">Z50/AB50</f>
        <v>1.6658676353721806</v>
      </c>
      <c r="AD50" s="13">
        <f t="shared" ref="AD50:AD61" si="23">Y50-Z50</f>
        <v>-863544.96</v>
      </c>
    </row>
    <row r="51" spans="1:30" ht="15.75" customHeight="1">
      <c r="A51" s="135" t="s">
        <v>131</v>
      </c>
      <c r="B51" s="136"/>
      <c r="C51" s="88">
        <f t="shared" si="12"/>
        <v>43487800</v>
      </c>
      <c r="D51" s="90">
        <f t="shared" si="12"/>
        <v>45582071</v>
      </c>
      <c r="E51" s="12">
        <f t="shared" si="9"/>
        <v>1.0481576672078146</v>
      </c>
      <c r="F51" s="22">
        <f t="shared" si="13"/>
        <v>-2094271</v>
      </c>
      <c r="G51" s="23">
        <f t="shared" si="14"/>
        <v>43487800</v>
      </c>
      <c r="H51" s="24">
        <f t="shared" si="15"/>
        <v>0</v>
      </c>
      <c r="I51" s="1">
        <v>1</v>
      </c>
      <c r="J51" s="35" t="s">
        <v>131</v>
      </c>
      <c r="K51" s="83">
        <v>43487800</v>
      </c>
      <c r="L51" s="86">
        <v>45582071</v>
      </c>
      <c r="M51" s="41">
        <f t="shared" si="10"/>
        <v>1.0481576672078146</v>
      </c>
      <c r="N51" s="42">
        <f t="shared" si="16"/>
        <v>-2094271</v>
      </c>
      <c r="O51" s="42">
        <v>43665123</v>
      </c>
      <c r="P51" s="42">
        <v>43835701.119999997</v>
      </c>
      <c r="Q51" s="41">
        <f t="shared" si="11"/>
        <v>1.0039065072598101</v>
      </c>
      <c r="R51" s="42">
        <f t="shared" si="17"/>
        <v>-170578.11999999732</v>
      </c>
      <c r="S51" s="42">
        <f>'FY 2009 Exp 01-15-10'!C4</f>
        <v>42789548</v>
      </c>
      <c r="T51" s="42">
        <v>47909345.829999998</v>
      </c>
      <c r="U51" s="41">
        <f t="shared" si="18"/>
        <v>1.1196506639892527</v>
      </c>
      <c r="V51" s="42">
        <f>'FY 2009 Exp 01-15-10'!D4</f>
        <v>47916306</v>
      </c>
      <c r="W51" s="41">
        <f t="shared" si="19"/>
        <v>0.99985474318491907</v>
      </c>
      <c r="X51" s="42">
        <f t="shared" si="20"/>
        <v>-5119797.8299999982</v>
      </c>
      <c r="Y51" s="42">
        <f>'FY 2008 Exp 01-15-10'!C4</f>
        <v>39688692</v>
      </c>
      <c r="Z51" s="42">
        <v>50253584.240000002</v>
      </c>
      <c r="AA51" s="41">
        <f t="shared" si="21"/>
        <v>1.266194014153956</v>
      </c>
      <c r="AB51" s="42">
        <f>'FY 2008 Exp 01-15-10'!D4</f>
        <v>50299627</v>
      </c>
      <c r="AC51" s="41">
        <f t="shared" si="22"/>
        <v>0.99908463019020011</v>
      </c>
      <c r="AD51" s="13">
        <f t="shared" si="23"/>
        <v>-10564892.240000002</v>
      </c>
    </row>
    <row r="52" spans="1:30" ht="15.75" customHeight="1">
      <c r="A52" s="135" t="s">
        <v>30</v>
      </c>
      <c r="B52" s="136"/>
      <c r="C52" s="88">
        <f t="shared" si="12"/>
        <v>2892101</v>
      </c>
      <c r="D52" s="90">
        <f t="shared" si="12"/>
        <v>2590338</v>
      </c>
      <c r="E52" s="12">
        <f t="shared" si="9"/>
        <v>0.895659591418142</v>
      </c>
      <c r="F52" s="22">
        <f t="shared" si="13"/>
        <v>301763</v>
      </c>
      <c r="G52" s="23">
        <f t="shared" si="14"/>
        <v>2892101</v>
      </c>
      <c r="H52" s="24">
        <f t="shared" si="15"/>
        <v>301763</v>
      </c>
      <c r="I52" s="1">
        <v>1</v>
      </c>
      <c r="J52" s="35" t="s">
        <v>30</v>
      </c>
      <c r="K52" s="83">
        <v>2892101</v>
      </c>
      <c r="L52" s="86">
        <v>2590338</v>
      </c>
      <c r="M52" s="41">
        <f t="shared" si="10"/>
        <v>0.895659591418142</v>
      </c>
      <c r="N52" s="42">
        <f t="shared" si="16"/>
        <v>301763</v>
      </c>
      <c r="O52" s="42">
        <v>3263326</v>
      </c>
      <c r="P52" s="42">
        <v>2817949.94</v>
      </c>
      <c r="Q52" s="41">
        <f t="shared" si="11"/>
        <v>0.86352081894361765</v>
      </c>
      <c r="R52" s="42">
        <f t="shared" si="17"/>
        <v>445376.06000000006</v>
      </c>
      <c r="S52" s="42">
        <f>'FY 2009 Exp 01-15-10'!C5</f>
        <v>3360551</v>
      </c>
      <c r="T52" s="42">
        <v>3420570.5100000002</v>
      </c>
      <c r="U52" s="41">
        <f t="shared" si="18"/>
        <v>1.0178600205740072</v>
      </c>
      <c r="V52" s="42">
        <f>'FY 2009 Exp 01-15-10'!D5</f>
        <v>3318332</v>
      </c>
      <c r="W52" s="41">
        <f t="shared" si="19"/>
        <v>1.0308102112748212</v>
      </c>
      <c r="X52" s="42">
        <f t="shared" si="20"/>
        <v>-60019.510000000242</v>
      </c>
      <c r="Y52" s="42">
        <f>'FY 2008 Exp 01-15-10'!C5</f>
        <v>2433415</v>
      </c>
      <c r="Z52" s="42">
        <v>2901284.92</v>
      </c>
      <c r="AA52" s="41">
        <f t="shared" si="21"/>
        <v>1.1922688567301507</v>
      </c>
      <c r="AB52" s="42">
        <f>'FY 2008 Exp 01-15-10'!D5</f>
        <v>3139760</v>
      </c>
      <c r="AC52" s="41">
        <f t="shared" si="22"/>
        <v>0.92404671694651819</v>
      </c>
      <c r="AD52" s="13">
        <f t="shared" si="23"/>
        <v>-467869.91999999993</v>
      </c>
    </row>
    <row r="53" spans="1:30" ht="15.75" customHeight="1">
      <c r="A53" s="135" t="s">
        <v>15</v>
      </c>
      <c r="B53" s="136"/>
      <c r="C53" s="88">
        <f t="shared" si="12"/>
        <v>10586321</v>
      </c>
      <c r="D53" s="90">
        <f t="shared" si="12"/>
        <v>9806126</v>
      </c>
      <c r="E53" s="12">
        <f t="shared" si="9"/>
        <v>0.92630159240400889</v>
      </c>
      <c r="F53" s="22">
        <f t="shared" si="13"/>
        <v>780195</v>
      </c>
      <c r="G53" s="23">
        <f t="shared" si="14"/>
        <v>10586321</v>
      </c>
      <c r="H53" s="24">
        <f t="shared" si="15"/>
        <v>780195</v>
      </c>
      <c r="I53" s="1">
        <v>1</v>
      </c>
      <c r="J53" s="35" t="s">
        <v>15</v>
      </c>
      <c r="K53" s="83">
        <v>10586321</v>
      </c>
      <c r="L53" s="86">
        <v>9806126</v>
      </c>
      <c r="M53" s="41">
        <f t="shared" si="10"/>
        <v>0.92630159240400889</v>
      </c>
      <c r="N53" s="42">
        <f t="shared" si="16"/>
        <v>780195</v>
      </c>
      <c r="O53" s="42">
        <v>10604579</v>
      </c>
      <c r="P53" s="42">
        <v>9887771.1099999994</v>
      </c>
      <c r="Q53" s="41">
        <f t="shared" si="11"/>
        <v>0.93240581356412167</v>
      </c>
      <c r="R53" s="42">
        <f t="shared" si="17"/>
        <v>716807.8900000006</v>
      </c>
      <c r="S53" s="42">
        <f>'FY 2009 Exp 01-15-10'!C6</f>
        <v>10906229</v>
      </c>
      <c r="T53" s="42">
        <v>10176911.580000002</v>
      </c>
      <c r="U53" s="41">
        <f t="shared" si="18"/>
        <v>0.93312835994916321</v>
      </c>
      <c r="V53" s="42">
        <f>'FY 2009 Exp 01-15-10'!D6</f>
        <v>11732575</v>
      </c>
      <c r="W53" s="41">
        <f t="shared" si="19"/>
        <v>0.86740647982220453</v>
      </c>
      <c r="X53" s="42">
        <f t="shared" si="20"/>
        <v>729317.41999999806</v>
      </c>
      <c r="Y53" s="42">
        <f>'FY 2008 Exp 01-15-10'!C6</f>
        <v>9925189</v>
      </c>
      <c r="Z53" s="42">
        <v>9719584.879999999</v>
      </c>
      <c r="AA53" s="41">
        <f t="shared" si="21"/>
        <v>0.9792846141267435</v>
      </c>
      <c r="AB53" s="42">
        <f>'FY 2008 Exp 01-15-10'!D6</f>
        <v>10236244</v>
      </c>
      <c r="AC53" s="41">
        <f t="shared" si="22"/>
        <v>0.94952649428833458</v>
      </c>
      <c r="AD53" s="13">
        <f t="shared" si="23"/>
        <v>205604.12000000104</v>
      </c>
    </row>
    <row r="54" spans="1:30" ht="15.75" customHeight="1">
      <c r="A54" s="135" t="s">
        <v>189</v>
      </c>
      <c r="B54" s="136"/>
      <c r="C54" s="88">
        <f t="shared" si="12"/>
        <v>41179358</v>
      </c>
      <c r="D54" s="90">
        <f t="shared" si="12"/>
        <v>65556394</v>
      </c>
      <c r="E54" s="12">
        <f t="shared" si="9"/>
        <v>1.5919722206451106</v>
      </c>
      <c r="F54" s="22">
        <f t="shared" si="13"/>
        <v>-24377036</v>
      </c>
      <c r="G54" s="23">
        <f t="shared" si="14"/>
        <v>41179358</v>
      </c>
      <c r="H54" s="24">
        <f t="shared" si="15"/>
        <v>0</v>
      </c>
      <c r="I54" s="1">
        <v>1</v>
      </c>
      <c r="J54" s="35" t="s">
        <v>14</v>
      </c>
      <c r="K54" s="83">
        <v>41179358</v>
      </c>
      <c r="L54" s="86">
        <v>65556394</v>
      </c>
      <c r="M54" s="41">
        <f t="shared" si="10"/>
        <v>1.5919722206451106</v>
      </c>
      <c r="N54" s="42">
        <f t="shared" si="16"/>
        <v>-24377036</v>
      </c>
      <c r="O54" s="42">
        <v>40714461</v>
      </c>
      <c r="P54" s="42">
        <v>36772209.93</v>
      </c>
      <c r="Q54" s="41">
        <f t="shared" si="11"/>
        <v>0.90317319760170711</v>
      </c>
      <c r="R54" s="42">
        <f t="shared" si="17"/>
        <v>3942251.0700000003</v>
      </c>
      <c r="S54" s="42">
        <f>'FY 2009 Exp 01-15-10'!C7</f>
        <v>39128938</v>
      </c>
      <c r="T54" s="42">
        <v>29393444.119999997</v>
      </c>
      <c r="U54" s="41">
        <f t="shared" si="18"/>
        <v>0.75119452820314203</v>
      </c>
      <c r="V54" s="42">
        <f>'FY 2009 Exp 01-15-10'!D7</f>
        <v>41658952</v>
      </c>
      <c r="W54" s="41">
        <f t="shared" si="19"/>
        <v>0.7055732971871207</v>
      </c>
      <c r="X54" s="42">
        <f t="shared" si="20"/>
        <v>9735493.8800000027</v>
      </c>
      <c r="Y54" s="42">
        <f>'FY 2008 Exp 01-15-10'!C7</f>
        <v>37639150</v>
      </c>
      <c r="Z54" s="42">
        <v>27222387.099999998</v>
      </c>
      <c r="AA54" s="41">
        <f t="shared" si="21"/>
        <v>0.72324659563247307</v>
      </c>
      <c r="AB54" s="42">
        <f>'FY 2008 Exp 01-15-10'!D7</f>
        <v>36096874</v>
      </c>
      <c r="AC54" s="41">
        <f t="shared" si="22"/>
        <v>0.75414804894185572</v>
      </c>
      <c r="AD54" s="13">
        <f t="shared" si="23"/>
        <v>10416762.900000002</v>
      </c>
    </row>
    <row r="55" spans="1:30" ht="15.75" customHeight="1">
      <c r="A55" s="135" t="s">
        <v>117</v>
      </c>
      <c r="B55" s="136"/>
      <c r="C55" s="88">
        <f t="shared" si="12"/>
        <v>19492602</v>
      </c>
      <c r="D55" s="90">
        <f t="shared" si="12"/>
        <v>17647243</v>
      </c>
      <c r="E55" s="12">
        <f t="shared" si="9"/>
        <v>0.90533028889626943</v>
      </c>
      <c r="F55" s="22">
        <f t="shared" si="13"/>
        <v>1845359</v>
      </c>
      <c r="G55" s="23">
        <f t="shared" si="14"/>
        <v>19492602</v>
      </c>
      <c r="H55" s="24">
        <f t="shared" si="15"/>
        <v>1845359</v>
      </c>
      <c r="I55" s="1">
        <v>1</v>
      </c>
      <c r="J55" s="35" t="s">
        <v>117</v>
      </c>
      <c r="K55" s="83">
        <v>19492602</v>
      </c>
      <c r="L55" s="86">
        <v>17647243</v>
      </c>
      <c r="M55" s="41">
        <f t="shared" si="10"/>
        <v>0.90533028889626943</v>
      </c>
      <c r="N55" s="42">
        <f t="shared" si="16"/>
        <v>1845359</v>
      </c>
      <c r="O55" s="42">
        <v>17404071</v>
      </c>
      <c r="P55" s="42">
        <v>18387852.719999999</v>
      </c>
      <c r="Q55" s="41">
        <f t="shared" si="11"/>
        <v>1.056525954186236</v>
      </c>
      <c r="R55" s="42">
        <f t="shared" si="17"/>
        <v>-983781.71999999881</v>
      </c>
      <c r="S55" s="42">
        <f>'FY 2009 Exp 01-15-10'!C8</f>
        <v>17368061</v>
      </c>
      <c r="T55" s="42">
        <v>16970444.879999999</v>
      </c>
      <c r="U55" s="41">
        <f t="shared" si="18"/>
        <v>0.9771064760769782</v>
      </c>
      <c r="V55" s="42">
        <f>'FY 2009 Exp 01-15-10'!D8</f>
        <v>17937753</v>
      </c>
      <c r="W55" s="41">
        <f t="shared" si="19"/>
        <v>0.94607417551128059</v>
      </c>
      <c r="X55" s="42">
        <f t="shared" si="20"/>
        <v>397616.12000000104</v>
      </c>
      <c r="Y55" s="42">
        <f>'FY 2008 Exp 01-15-10'!C8</f>
        <v>17183257</v>
      </c>
      <c r="Z55" s="42">
        <v>17791258.439999998</v>
      </c>
      <c r="AA55" s="41">
        <f t="shared" si="21"/>
        <v>1.0353833641666419</v>
      </c>
      <c r="AB55" s="42">
        <f>'FY 2008 Exp 01-15-10'!D8</f>
        <v>15836617</v>
      </c>
      <c r="AC55" s="41">
        <f t="shared" si="22"/>
        <v>1.1234254411785041</v>
      </c>
      <c r="AD55" s="13">
        <f t="shared" si="23"/>
        <v>-608001.43999999762</v>
      </c>
    </row>
    <row r="56" spans="1:30" ht="15.75" customHeight="1">
      <c r="A56" s="135" t="s">
        <v>31</v>
      </c>
      <c r="B56" s="136"/>
      <c r="C56" s="88">
        <f t="shared" si="12"/>
        <v>17117766</v>
      </c>
      <c r="D56" s="90">
        <f t="shared" si="12"/>
        <v>15673919</v>
      </c>
      <c r="E56" s="12">
        <f t="shared" si="9"/>
        <v>0.91565213591539929</v>
      </c>
      <c r="F56" s="22">
        <f t="shared" si="13"/>
        <v>1443847</v>
      </c>
      <c r="G56" s="23">
        <f t="shared" si="14"/>
        <v>17117766</v>
      </c>
      <c r="H56" s="24">
        <f t="shared" si="15"/>
        <v>1443847</v>
      </c>
      <c r="I56" s="1">
        <v>1</v>
      </c>
      <c r="J56" s="35" t="s">
        <v>31</v>
      </c>
      <c r="K56" s="83">
        <v>17117766</v>
      </c>
      <c r="L56" s="86">
        <v>15673919</v>
      </c>
      <c r="M56" s="41">
        <f t="shared" si="10"/>
        <v>0.91565213591539929</v>
      </c>
      <c r="N56" s="42">
        <f t="shared" si="16"/>
        <v>1443847</v>
      </c>
      <c r="O56" s="42">
        <v>17413314</v>
      </c>
      <c r="P56" s="42">
        <v>15762855.52</v>
      </c>
      <c r="Q56" s="41">
        <f t="shared" si="11"/>
        <v>0.90521858848924441</v>
      </c>
      <c r="R56" s="42">
        <f t="shared" si="17"/>
        <v>1650458.4800000004</v>
      </c>
      <c r="S56" s="42">
        <f>'FY 2009 Exp 01-15-10'!C9</f>
        <v>17278014</v>
      </c>
      <c r="T56" s="42">
        <v>15536742.649999999</v>
      </c>
      <c r="U56" s="41">
        <f t="shared" si="18"/>
        <v>0.8992203994047</v>
      </c>
      <c r="V56" s="42">
        <f>'FY 2009 Exp 01-15-10'!D9</f>
        <v>17898937</v>
      </c>
      <c r="W56" s="41">
        <f t="shared" si="19"/>
        <v>0.86802599785674417</v>
      </c>
      <c r="X56" s="42">
        <f t="shared" si="20"/>
        <v>1741271.3500000015</v>
      </c>
      <c r="Y56" s="42">
        <f>'FY 2008 Exp 01-15-10'!C9</f>
        <v>16892588</v>
      </c>
      <c r="Z56" s="42">
        <v>15953689.83</v>
      </c>
      <c r="AA56" s="41">
        <f t="shared" si="21"/>
        <v>0.94441951878539865</v>
      </c>
      <c r="AB56" s="42">
        <f>'FY 2008 Exp 01-15-10'!D9</f>
        <v>17511804</v>
      </c>
      <c r="AC56" s="41">
        <f t="shared" si="22"/>
        <v>0.91102491953427533</v>
      </c>
      <c r="AD56" s="13">
        <f t="shared" si="23"/>
        <v>938898.16999999993</v>
      </c>
    </row>
    <row r="57" spans="1:30" ht="15.75" customHeight="1">
      <c r="A57" s="135" t="s">
        <v>32</v>
      </c>
      <c r="B57" s="136"/>
      <c r="C57" s="88">
        <f t="shared" si="12"/>
        <v>10895570</v>
      </c>
      <c r="D57" s="90">
        <f t="shared" si="12"/>
        <v>10282513</v>
      </c>
      <c r="E57" s="12">
        <f t="shared" si="9"/>
        <v>0.94373337053499728</v>
      </c>
      <c r="F57" s="22">
        <f t="shared" si="13"/>
        <v>613057</v>
      </c>
      <c r="G57" s="23">
        <f t="shared" si="14"/>
        <v>10895570</v>
      </c>
      <c r="H57" s="24">
        <f t="shared" si="15"/>
        <v>613057</v>
      </c>
      <c r="I57" s="1">
        <v>1</v>
      </c>
      <c r="J57" s="35" t="s">
        <v>32</v>
      </c>
      <c r="K57" s="83">
        <v>10895570</v>
      </c>
      <c r="L57" s="86">
        <v>10282513</v>
      </c>
      <c r="M57" s="41">
        <f t="shared" si="10"/>
        <v>0.94373337053499728</v>
      </c>
      <c r="N57" s="42">
        <f t="shared" si="16"/>
        <v>613057</v>
      </c>
      <c r="O57" s="42">
        <v>10775827</v>
      </c>
      <c r="P57" s="42">
        <v>10557932.050000001</v>
      </c>
      <c r="Q57" s="41">
        <f t="shared" si="11"/>
        <v>0.97977928283369808</v>
      </c>
      <c r="R57" s="42">
        <f t="shared" si="17"/>
        <v>217894.94999999925</v>
      </c>
      <c r="S57" s="42">
        <f>'FY 2009 Exp 01-15-10'!C10</f>
        <v>10462445</v>
      </c>
      <c r="T57" s="42">
        <v>10216079.879999999</v>
      </c>
      <c r="U57" s="41">
        <f t="shared" si="18"/>
        <v>0.97645243344170496</v>
      </c>
      <c r="V57" s="42">
        <f>'FY 2009 Exp 01-15-10'!D10</f>
        <v>10559987</v>
      </c>
      <c r="W57" s="41">
        <f t="shared" si="19"/>
        <v>0.96743299778683434</v>
      </c>
      <c r="X57" s="42">
        <f t="shared" si="20"/>
        <v>246365.12000000104</v>
      </c>
      <c r="Y57" s="42">
        <f>'FY 2008 Exp 01-15-10'!C10</f>
        <v>10123030</v>
      </c>
      <c r="Z57" s="42">
        <v>10033675.629999999</v>
      </c>
      <c r="AA57" s="41">
        <f t="shared" si="21"/>
        <v>0.99117315961722907</v>
      </c>
      <c r="AB57" s="42">
        <f>'FY 2008 Exp 01-15-10'!D10</f>
        <v>10223818</v>
      </c>
      <c r="AC57" s="41">
        <f t="shared" si="22"/>
        <v>0.981402019284772</v>
      </c>
      <c r="AD57" s="13">
        <f t="shared" si="23"/>
        <v>89354.370000001043</v>
      </c>
    </row>
    <row r="58" spans="1:30" ht="15.75" customHeight="1">
      <c r="A58" s="135" t="s">
        <v>33</v>
      </c>
      <c r="B58" s="136"/>
      <c r="C58" s="88">
        <f t="shared" si="12"/>
        <v>11591817</v>
      </c>
      <c r="D58" s="90">
        <f t="shared" si="12"/>
        <v>20809245</v>
      </c>
      <c r="E58" s="12">
        <f t="shared" si="9"/>
        <v>1.7951667974054455</v>
      </c>
      <c r="F58" s="22">
        <f t="shared" si="13"/>
        <v>-9217428</v>
      </c>
      <c r="G58" s="23">
        <f t="shared" si="14"/>
        <v>11591817</v>
      </c>
      <c r="H58" s="24">
        <f t="shared" si="15"/>
        <v>0</v>
      </c>
      <c r="I58" s="1">
        <v>1</v>
      </c>
      <c r="J58" s="35" t="s">
        <v>33</v>
      </c>
      <c r="K58" s="83">
        <v>11591817</v>
      </c>
      <c r="L58" s="86">
        <v>20809245</v>
      </c>
      <c r="M58" s="41">
        <f t="shared" si="10"/>
        <v>1.7951667974054455</v>
      </c>
      <c r="N58" s="42">
        <f t="shared" si="16"/>
        <v>-9217428</v>
      </c>
      <c r="O58" s="42">
        <v>13414559</v>
      </c>
      <c r="P58" s="42">
        <v>20392925.18</v>
      </c>
      <c r="Q58" s="41">
        <f t="shared" si="11"/>
        <v>1.5202083929855614</v>
      </c>
      <c r="R58" s="42">
        <f t="shared" si="17"/>
        <v>-6978366.1799999997</v>
      </c>
      <c r="S58" s="42">
        <f>'FY 2009 Exp 01-15-10'!C11</f>
        <v>13483773</v>
      </c>
      <c r="T58" s="42">
        <v>19505932.360000003</v>
      </c>
      <c r="U58" s="41">
        <f t="shared" si="18"/>
        <v>1.4466227190267889</v>
      </c>
      <c r="V58" s="42">
        <f>'FY 2009 Exp 01-15-10'!D11</f>
        <v>25988724</v>
      </c>
      <c r="W58" s="41">
        <f t="shared" si="19"/>
        <v>0.75055367704855391</v>
      </c>
      <c r="X58" s="42">
        <f t="shared" si="20"/>
        <v>-6022159.3600000031</v>
      </c>
      <c r="Y58" s="42">
        <f>'FY 2008 Exp 01-15-10'!C11</f>
        <v>13190056</v>
      </c>
      <c r="Z58" s="42">
        <v>31398306.120000001</v>
      </c>
      <c r="AA58" s="41">
        <f t="shared" si="21"/>
        <v>2.3804528290099753</v>
      </c>
      <c r="AB58" s="42">
        <f>'FY 2008 Exp 01-15-10'!D11</f>
        <v>40957636</v>
      </c>
      <c r="AC58" s="41">
        <f t="shared" si="22"/>
        <v>0.76660445246400455</v>
      </c>
      <c r="AD58" s="13">
        <f t="shared" si="23"/>
        <v>-18208250.120000001</v>
      </c>
    </row>
    <row r="59" spans="1:30" ht="15.75" customHeight="1">
      <c r="A59" s="135" t="s">
        <v>34</v>
      </c>
      <c r="B59" s="136"/>
      <c r="C59" s="88">
        <f t="shared" si="12"/>
        <v>65349602</v>
      </c>
      <c r="D59" s="90">
        <f t="shared" si="12"/>
        <v>63192389</v>
      </c>
      <c r="E59" s="12">
        <f t="shared" si="9"/>
        <v>0.96698965358656663</v>
      </c>
      <c r="F59" s="22">
        <f t="shared" si="13"/>
        <v>2157213</v>
      </c>
      <c r="G59" s="23">
        <f t="shared" si="14"/>
        <v>65349602</v>
      </c>
      <c r="H59" s="24">
        <f t="shared" si="15"/>
        <v>2157213</v>
      </c>
      <c r="I59" s="1">
        <v>1</v>
      </c>
      <c r="J59" s="35" t="s">
        <v>34</v>
      </c>
      <c r="K59" s="83">
        <v>65349602</v>
      </c>
      <c r="L59" s="86">
        <v>63192389</v>
      </c>
      <c r="M59" s="41">
        <f t="shared" si="10"/>
        <v>0.96698965358656663</v>
      </c>
      <c r="N59" s="42">
        <f t="shared" si="16"/>
        <v>2157213</v>
      </c>
      <c r="O59" s="42">
        <v>65544767</v>
      </c>
      <c r="P59" s="42">
        <v>64205573.079999998</v>
      </c>
      <c r="Q59" s="41">
        <f t="shared" si="11"/>
        <v>0.97956825569308981</v>
      </c>
      <c r="R59" s="42">
        <f t="shared" si="17"/>
        <v>1339193.9200000018</v>
      </c>
      <c r="S59" s="42">
        <f>'FY 2009 Exp 01-15-10'!C12</f>
        <v>65608655</v>
      </c>
      <c r="T59" s="42">
        <v>62502496.940000005</v>
      </c>
      <c r="U59" s="41">
        <f t="shared" si="18"/>
        <v>0.95265627591359714</v>
      </c>
      <c r="V59" s="42">
        <f>'FY 2009 Exp 01-15-10'!D12</f>
        <v>58058647</v>
      </c>
      <c r="W59" s="41">
        <f t="shared" si="19"/>
        <v>1.0765407078811189</v>
      </c>
      <c r="X59" s="42">
        <f t="shared" si="20"/>
        <v>3106158.0599999949</v>
      </c>
      <c r="Y59" s="42">
        <f>'FY 2008 Exp 01-15-10'!C12</f>
        <v>64075535</v>
      </c>
      <c r="Z59" s="42">
        <v>64200232.190000013</v>
      </c>
      <c r="AA59" s="41">
        <f t="shared" si="21"/>
        <v>1.0019460967434766</v>
      </c>
      <c r="AB59" s="42">
        <f>'FY 2008 Exp 01-15-10'!D12</f>
        <v>57996969</v>
      </c>
      <c r="AC59" s="41">
        <f t="shared" si="22"/>
        <v>1.106958403119308</v>
      </c>
      <c r="AD59" s="13">
        <f t="shared" si="23"/>
        <v>-124697.19000001252</v>
      </c>
    </row>
    <row r="60" spans="1:30" ht="15.75" customHeight="1">
      <c r="A60" s="135" t="s">
        <v>132</v>
      </c>
      <c r="B60" s="136"/>
      <c r="C60" s="88">
        <f t="shared" si="12"/>
        <v>19688923</v>
      </c>
      <c r="D60" s="90">
        <f t="shared" si="12"/>
        <v>23410627</v>
      </c>
      <c r="E60" s="12">
        <f t="shared" si="9"/>
        <v>1.1890252707067828</v>
      </c>
      <c r="F60" s="22">
        <f t="shared" si="13"/>
        <v>-3721704</v>
      </c>
      <c r="G60" s="23">
        <f t="shared" si="14"/>
        <v>19688923</v>
      </c>
      <c r="H60" s="24">
        <f t="shared" si="15"/>
        <v>0</v>
      </c>
      <c r="I60" s="1">
        <v>1</v>
      </c>
      <c r="J60" s="35" t="s">
        <v>132</v>
      </c>
      <c r="K60" s="83">
        <v>19688923</v>
      </c>
      <c r="L60" s="86">
        <v>23410627</v>
      </c>
      <c r="M60" s="41">
        <f t="shared" si="10"/>
        <v>1.1890252707067828</v>
      </c>
      <c r="N60" s="42">
        <f t="shared" si="16"/>
        <v>-3721704</v>
      </c>
      <c r="O60" s="42">
        <v>19347332</v>
      </c>
      <c r="P60" s="42">
        <v>56132638.170000002</v>
      </c>
      <c r="Q60" s="41">
        <f t="shared" si="11"/>
        <v>2.9013115694711811</v>
      </c>
      <c r="R60" s="42">
        <f t="shared" si="17"/>
        <v>-36785306.170000002</v>
      </c>
      <c r="S60" s="42">
        <f>'FY 2009 Exp 01-15-10'!C13</f>
        <v>19861346</v>
      </c>
      <c r="T60" s="42">
        <v>56241618.839999996</v>
      </c>
      <c r="U60" s="41">
        <f t="shared" si="18"/>
        <v>2.8317123542382272</v>
      </c>
      <c r="V60" s="42">
        <f>'FY 2009 Exp 01-15-10'!D13</f>
        <v>38533167</v>
      </c>
      <c r="W60" s="41">
        <f t="shared" si="19"/>
        <v>1.4595638827195283</v>
      </c>
      <c r="X60" s="42">
        <f t="shared" si="20"/>
        <v>-36380272.839999996</v>
      </c>
      <c r="Y60" s="42">
        <f>'FY 2008 Exp 01-15-10'!C13</f>
        <v>17022879</v>
      </c>
      <c r="Z60" s="42">
        <v>63038430.679999992</v>
      </c>
      <c r="AA60" s="41">
        <f t="shared" si="21"/>
        <v>3.703159182415618</v>
      </c>
      <c r="AB60" s="42">
        <f>'FY 2008 Exp 01-15-10'!D13</f>
        <v>37697948</v>
      </c>
      <c r="AC60" s="41">
        <f t="shared" si="22"/>
        <v>1.6721979318343798</v>
      </c>
      <c r="AD60" s="13">
        <f t="shared" si="23"/>
        <v>-46015551.679999992</v>
      </c>
    </row>
    <row r="61" spans="1:30" ht="15.75" customHeight="1" thickBot="1">
      <c r="A61" s="135" t="s">
        <v>191</v>
      </c>
      <c r="B61" s="136"/>
      <c r="C61" s="88">
        <f t="shared" si="12"/>
        <v>28150079</v>
      </c>
      <c r="D61" s="90">
        <f t="shared" si="12"/>
        <v>55646322</v>
      </c>
      <c r="E61" s="12">
        <f t="shared" si="9"/>
        <v>1.9767732090556478</v>
      </c>
      <c r="F61" s="22">
        <f t="shared" si="13"/>
        <v>-27496243</v>
      </c>
      <c r="G61" s="23">
        <f t="shared" si="14"/>
        <v>28150079</v>
      </c>
      <c r="H61" s="24">
        <f t="shared" si="15"/>
        <v>0</v>
      </c>
      <c r="I61" s="1">
        <v>1</v>
      </c>
      <c r="J61" s="35" t="s">
        <v>35</v>
      </c>
      <c r="K61" s="84">
        <v>28150079</v>
      </c>
      <c r="L61" s="87">
        <v>55646322</v>
      </c>
      <c r="M61" s="38">
        <f t="shared" si="10"/>
        <v>1.9767732090556478</v>
      </c>
      <c r="N61" s="44">
        <f t="shared" si="16"/>
        <v>-27496243</v>
      </c>
      <c r="O61" s="44">
        <v>26609348</v>
      </c>
      <c r="P61" s="44">
        <v>33042450.420000002</v>
      </c>
      <c r="Q61" s="38">
        <f t="shared" si="11"/>
        <v>1.241760993918378</v>
      </c>
      <c r="R61" s="44">
        <f t="shared" si="17"/>
        <v>-6433102.4200000018</v>
      </c>
      <c r="S61" s="44">
        <f>'FY 2009 Exp 01-15-10'!C14</f>
        <v>27673796</v>
      </c>
      <c r="T61" s="44">
        <v>81259893.120000005</v>
      </c>
      <c r="U61" s="38">
        <f t="shared" si="18"/>
        <v>2.9363479126607714</v>
      </c>
      <c r="V61" s="44">
        <f>'FY 2009 Exp 01-15-10'!D14</f>
        <v>70249042</v>
      </c>
      <c r="W61" s="38">
        <f t="shared" si="19"/>
        <v>1.1567402317030886</v>
      </c>
      <c r="X61" s="44">
        <f t="shared" si="20"/>
        <v>-53586097.120000005</v>
      </c>
      <c r="Y61" s="44">
        <f>'FY 2008 Exp 01-15-10'!C14</f>
        <v>25864446</v>
      </c>
      <c r="Z61" s="44">
        <v>41401503.990000002</v>
      </c>
      <c r="AA61" s="38">
        <f t="shared" si="21"/>
        <v>1.6007110297278357</v>
      </c>
      <c r="AB61" s="44">
        <f>'FY 2008 Exp 01-15-10'!D14</f>
        <v>40216702</v>
      </c>
      <c r="AC61" s="38">
        <f t="shared" si="22"/>
        <v>1.0294604463090982</v>
      </c>
      <c r="AD61" s="45">
        <f t="shared" si="23"/>
        <v>-15537057.990000002</v>
      </c>
    </row>
    <row r="62" spans="1:30" ht="15.75" customHeight="1" thickBot="1">
      <c r="A62" s="139" t="s">
        <v>28</v>
      </c>
      <c r="B62" s="140"/>
      <c r="C62" s="20">
        <f>SUM(C49:C61)</f>
        <v>271926181</v>
      </c>
      <c r="D62" s="20">
        <f>SUM(D49:D61)</f>
        <v>331524757</v>
      </c>
      <c r="E62" s="12">
        <f t="shared" si="9"/>
        <v>1.2191718935662175</v>
      </c>
      <c r="F62" s="29">
        <f t="shared" si="13"/>
        <v>-59598576</v>
      </c>
      <c r="G62" s="23">
        <f t="shared" si="14"/>
        <v>271926181</v>
      </c>
      <c r="H62" s="24">
        <f t="shared" si="15"/>
        <v>0</v>
      </c>
      <c r="J62" s="30"/>
      <c r="K62" s="43">
        <f>SUM(K49:K61)</f>
        <v>271926181</v>
      </c>
      <c r="L62" s="43">
        <f>SUM(L49:L61)</f>
        <v>331524757</v>
      </c>
      <c r="M62" s="39">
        <f t="shared" si="10"/>
        <v>1.2191718935662175</v>
      </c>
      <c r="N62" s="43">
        <f>SUM(N49:N61)</f>
        <v>-59598576</v>
      </c>
      <c r="O62" s="43">
        <f>SUM(O49:O61)</f>
        <v>270182156</v>
      </c>
      <c r="P62" s="43">
        <f>SUM(P49:P61)</f>
        <v>315190608.11000001</v>
      </c>
      <c r="Q62" s="39">
        <f t="shared" si="11"/>
        <v>1.166585583505374</v>
      </c>
      <c r="R62" s="43">
        <f>SUM(R49:R61)</f>
        <v>-45008452.109999999</v>
      </c>
      <c r="S62" s="43">
        <f t="shared" ref="S62:AD62" si="24">SUM(S49:S61)</f>
        <v>269482206</v>
      </c>
      <c r="T62" s="43">
        <f t="shared" si="24"/>
        <v>357437003.18000001</v>
      </c>
      <c r="U62" s="39">
        <f t="shared" si="18"/>
        <v>1.3263844336349244</v>
      </c>
      <c r="V62" s="43">
        <f t="shared" si="24"/>
        <v>345653526</v>
      </c>
      <c r="W62" s="39">
        <f t="shared" si="19"/>
        <v>1.0340904295592228</v>
      </c>
      <c r="X62" s="43">
        <f t="shared" si="24"/>
        <v>-87954797.180000007</v>
      </c>
      <c r="Y62" s="43">
        <f t="shared" si="24"/>
        <v>255607673</v>
      </c>
      <c r="Z62" s="43">
        <f t="shared" si="24"/>
        <v>336518472.64000005</v>
      </c>
      <c r="AA62" s="39">
        <f t="shared" si="21"/>
        <v>1.3165429217768436</v>
      </c>
      <c r="AB62" s="43">
        <f t="shared" si="24"/>
        <v>322179771</v>
      </c>
      <c r="AC62" s="39">
        <f t="shared" si="22"/>
        <v>1.0445052822388405</v>
      </c>
      <c r="AD62" s="43">
        <f t="shared" si="24"/>
        <v>-80910799.640000001</v>
      </c>
    </row>
    <row r="63" spans="1:30" ht="26.25" customHeight="1" thickTop="1">
      <c r="B63" s="141" t="s">
        <v>190</v>
      </c>
      <c r="C63" s="141"/>
      <c r="D63" s="141"/>
      <c r="E63" s="141"/>
      <c r="F63" s="141"/>
      <c r="J63" s="79"/>
    </row>
    <row r="64" spans="1:30">
      <c r="J64" s="79"/>
    </row>
    <row r="65" spans="10:10">
      <c r="J65" s="79"/>
    </row>
    <row r="66" spans="10:10">
      <c r="J66" s="79"/>
    </row>
    <row r="67" spans="10:10">
      <c r="J67" s="79"/>
    </row>
    <row r="68" spans="10:10">
      <c r="J68" s="79"/>
    </row>
    <row r="69" spans="10:10">
      <c r="J69" s="79"/>
    </row>
    <row r="70" spans="10:10">
      <c r="J70" s="79"/>
    </row>
    <row r="71" spans="10:10">
      <c r="J71" s="79"/>
    </row>
    <row r="72" spans="10:10">
      <c r="J72" s="79"/>
    </row>
    <row r="73" spans="10:10">
      <c r="J73" s="79"/>
    </row>
    <row r="74" spans="10:10">
      <c r="J74" s="79"/>
    </row>
    <row r="75" spans="10:10">
      <c r="J75" s="79"/>
    </row>
    <row r="76" spans="10:10">
      <c r="J76" s="80"/>
    </row>
    <row r="77" spans="10:10">
      <c r="J77" s="81"/>
    </row>
    <row r="90" ht="54.75" customHeight="1"/>
    <row r="113" ht="3.75" customHeight="1"/>
  </sheetData>
  <mergeCells count="29">
    <mergeCell ref="B63:F63"/>
    <mergeCell ref="A59:B59"/>
    <mergeCell ref="A60:B60"/>
    <mergeCell ref="A61:B61"/>
    <mergeCell ref="A62:B62"/>
    <mergeCell ref="A58:B58"/>
    <mergeCell ref="A46:F46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24:B24"/>
    <mergeCell ref="B3:D3"/>
    <mergeCell ref="A13:F13"/>
    <mergeCell ref="A14:F14"/>
    <mergeCell ref="A16:B16"/>
    <mergeCell ref="A17:B17"/>
    <mergeCell ref="A18:B18"/>
    <mergeCell ref="A19:B19"/>
    <mergeCell ref="A20:B20"/>
    <mergeCell ref="A21:B21"/>
    <mergeCell ref="A22:B22"/>
    <mergeCell ref="A23:B23"/>
  </mergeCells>
  <pageMargins left="0.45" right="0.45" top="0.75" bottom="0.75" header="0.3" footer="0.3"/>
  <pageSetup scale="9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8D279BEC65C44EBCAF757B879113B5" ma:contentTypeVersion="7" ma:contentTypeDescription="Create a new document." ma:contentTypeScope="" ma:versionID="2c36df9ee20cf05646d8106cfb782d5d">
  <xsd:schema xmlns:xsd="http://www.w3.org/2001/XMLSchema" xmlns:xs="http://www.w3.org/2001/XMLSchema" xmlns:p="http://schemas.microsoft.com/office/2006/metadata/properties" xmlns:ns2="faf7b773-99b2-46a9-bf9c-7d40a6c582ad" targetNamespace="http://schemas.microsoft.com/office/2006/metadata/properties" ma:root="true" ma:fieldsID="6eae7e37e1f09dda9e1e9606ac14f203" ns2:_="">
    <xsd:import namespace="faf7b773-99b2-46a9-bf9c-7d40a6c582ad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f7b773-99b2-46a9-bf9c-7d40a6c582ad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Year" ma:internalName="Year">
      <xsd:simpleType>
        <xsd:restriction base="dms:Text">
          <xsd:maxLength value="4"/>
        </xsd:restriction>
      </xsd:simpleType>
    </xsd:element>
    <xsd:element name="Category" ma:index="9" nillable="true" ma:displayName="Category" ma:format="Dropdown" ma:internalName="Category">
      <xsd:simpleType>
        <xsd:restriction base="dms:Choice">
          <xsd:enumeration value="Culture and Recreation"/>
          <xsd:enumeration value="Equipment Services"/>
          <xsd:enumeration value="Financial Administration"/>
          <xsd:enumeration value="General Administration"/>
          <xsd:enumeration value="Health and Welfare"/>
          <xsd:enumeration value="High Level Reports"/>
          <xsd:enumeration value="Judicial"/>
          <xsd:enumeration value="Legal"/>
          <xsd:enumeration value="Public Facilities"/>
          <xsd:enumeration value="Public Safety"/>
          <xsd:enumeration value="Public Transporta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faf7b773-99b2-46a9-bf9c-7d40a6c582ad">High Level Reports</Category>
    <Year xmlns="faf7b773-99b2-46a9-bf9c-7d40a6c582ad">2013</Year>
  </documentManagement>
</p:properties>
</file>

<file path=customXml/itemProps1.xml><?xml version="1.0" encoding="utf-8"?>
<ds:datastoreItem xmlns:ds="http://schemas.openxmlformats.org/officeDocument/2006/customXml" ds:itemID="{8B867C38-B32E-4B45-837D-C0C1170845E4}"/>
</file>

<file path=customXml/itemProps2.xml><?xml version="1.0" encoding="utf-8"?>
<ds:datastoreItem xmlns:ds="http://schemas.openxmlformats.org/officeDocument/2006/customXml" ds:itemID="{3005C386-0C9E-4E4C-B9B8-7A378E9F413E}"/>
</file>

<file path=customXml/itemProps3.xml><?xml version="1.0" encoding="utf-8"?>
<ds:datastoreItem xmlns:ds="http://schemas.openxmlformats.org/officeDocument/2006/customXml" ds:itemID="{42BA11FE-676D-4796-8723-E148E01239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20</vt:i4>
      </vt:variant>
    </vt:vector>
  </HeadingPairs>
  <TitlesOfParts>
    <vt:vector size="47" baseType="lpstr">
      <vt:lpstr>2013 Q4 Combined</vt:lpstr>
      <vt:lpstr>2013 Q3 Combined</vt:lpstr>
      <vt:lpstr>2013 Q2 Combined</vt:lpstr>
      <vt:lpstr>2013 Q1 Combined</vt:lpstr>
      <vt:lpstr>2012 Q4 Combined</vt:lpstr>
      <vt:lpstr>2012 Q3 Combined</vt:lpstr>
      <vt:lpstr>2012 Q2 Combined</vt:lpstr>
      <vt:lpstr>2012 Q1 Combined</vt:lpstr>
      <vt:lpstr>2011 Q4 Combined </vt:lpstr>
      <vt:lpstr>2011 Q3 Combined</vt:lpstr>
      <vt:lpstr>2011 Q2 Combined</vt:lpstr>
      <vt:lpstr>2011 Q1 Combined</vt:lpstr>
      <vt:lpstr>2010 Q2 Combined</vt:lpstr>
      <vt:lpstr>2010 Q3 Combined </vt:lpstr>
      <vt:lpstr>2010 Q4 Combined</vt:lpstr>
      <vt:lpstr>FY2010 Rev as of 10-15-10</vt:lpstr>
      <vt:lpstr>FY2010 Exp as of 10-15-10</vt:lpstr>
      <vt:lpstr>FY2010 Rev as of 7-15-10</vt:lpstr>
      <vt:lpstr>FY2010 Exp as of 7-15-10</vt:lpstr>
      <vt:lpstr>FY2010 Rev as of 04-15-10</vt:lpstr>
      <vt:lpstr>FY2010 Exp as of 4-15-10</vt:lpstr>
      <vt:lpstr>FY 2010 Rev as of 01-15-10</vt:lpstr>
      <vt:lpstr>FY 2010 Exp as of 01-15-10</vt:lpstr>
      <vt:lpstr>FY 2009 Rev 01-15-10</vt:lpstr>
      <vt:lpstr>FY 2009 Exp 01-15-10</vt:lpstr>
      <vt:lpstr>FY 2008 Rev 01-15-10</vt:lpstr>
      <vt:lpstr>FY 2008 Exp 01-15-10</vt:lpstr>
      <vt:lpstr>'2010 Q4 Combined'!Print_Area</vt:lpstr>
      <vt:lpstr>'2011 Q1 Combined'!Print_Area</vt:lpstr>
      <vt:lpstr>'2011 Q2 Combined'!Print_Area</vt:lpstr>
      <vt:lpstr>'2011 Q3 Combined'!Print_Area</vt:lpstr>
      <vt:lpstr>'2011 Q4 Combined '!Print_Area</vt:lpstr>
      <vt:lpstr>'2012 Q1 Combined'!Print_Area</vt:lpstr>
      <vt:lpstr>'2012 Q2 Combined'!Print_Area</vt:lpstr>
      <vt:lpstr>'2012 Q3 Combined'!Print_Area</vt:lpstr>
      <vt:lpstr>'2012 Q4 Combined'!Print_Area</vt:lpstr>
      <vt:lpstr>'2013 Q1 Combined'!Print_Area</vt:lpstr>
      <vt:lpstr>'2013 Q2 Combined'!Print_Area</vt:lpstr>
      <vt:lpstr>'2013 Q3 Combined'!Print_Area</vt:lpstr>
      <vt:lpstr>'2013 Q4 Combined'!Print_Area</vt:lpstr>
      <vt:lpstr>'FY 2010 Rev as of 01-15-10'!Print_Area</vt:lpstr>
      <vt:lpstr>'FY 2008 Exp 01-15-10'!Print_Titles</vt:lpstr>
      <vt:lpstr>'FY 2008 Rev 01-15-10'!Print_Titles</vt:lpstr>
      <vt:lpstr>'FY 2009 Exp 01-15-10'!Print_Titles</vt:lpstr>
      <vt:lpstr>'FY 2009 Rev 01-15-10'!Print_Titles</vt:lpstr>
      <vt:lpstr>'FY 2010 Exp as of 01-15-10'!Print_Titles</vt:lpstr>
      <vt:lpstr>'FY 2010 Rev as of 01-15-10'!Print_Titles</vt:lpstr>
    </vt:vector>
  </TitlesOfParts>
  <Company>collin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FY2013 4th quarter High Level Reports Combined Funds Quarterly Report 2013</dc:title>
  <dc:creator>Monika Arris</dc:creator>
  <cp:lastModifiedBy>Teresa Moore</cp:lastModifiedBy>
  <cp:lastPrinted>2013-10-07T20:22:46Z</cp:lastPrinted>
  <dcterms:created xsi:type="dcterms:W3CDTF">2005-12-07T16:53:29Z</dcterms:created>
  <dcterms:modified xsi:type="dcterms:W3CDTF">2013-10-07T20:25:05Z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487155397</vt:i4>
  </property>
  <property fmtid="{D5CDD505-2E9C-101B-9397-08002B2CF9AE}" pid="3" name="_NewReviewCycle">
    <vt:lpwstr/>
  </property>
  <property fmtid="{D5CDD505-2E9C-101B-9397-08002B2CF9AE}" pid="4" name="_EmailSubject">
    <vt:lpwstr>General Fund Quarterly Report 2007.xls</vt:lpwstr>
  </property>
  <property fmtid="{D5CDD505-2E9C-101B-9397-08002B2CF9AE}" pid="5" name="_AuthorEmail">
    <vt:lpwstr>marris@co.collin.tx.us</vt:lpwstr>
  </property>
  <property fmtid="{D5CDD505-2E9C-101B-9397-08002B2CF9AE}" pid="6" name="_AuthorEmailDisplayName">
    <vt:lpwstr>Monika Arris</vt:lpwstr>
  </property>
  <property fmtid="{D5CDD505-2E9C-101B-9397-08002B2CF9AE}" pid="7" name="_ReviewingToolsShownOnce">
    <vt:lpwstr/>
  </property>
  <property fmtid="{D5CDD505-2E9C-101B-9397-08002B2CF9AE}" pid="8" name="ContentTypeId">
    <vt:lpwstr>0x0101005F8D279BEC65C44EBCAF757B879113B5</vt:lpwstr>
  </property>
</Properties>
</file>