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96.xml" ContentType="application/vnd.openxmlformats-officedocument.drawingml.chart+xml"/>
  <Override PartName="/xl/drawings/drawing13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95.xml" ContentType="application/vnd.openxmlformats-officedocument.drawingml.chart+xml"/>
  <Override PartName="/xl/charts/chart94.xml" ContentType="application/vnd.openxmlformats-officedocument.drawingml.chart+xml"/>
  <Override PartName="/xl/charts/chart93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07.xml" ContentType="application/vnd.openxmlformats-officedocument.drawingml.chart+xml"/>
  <Override PartName="/xl/charts/chart106.xml" ContentType="application/vnd.openxmlformats-officedocument.drawingml.chart+xml"/>
  <Override PartName="/xl/charts/chart105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harts/chart88.xml" ContentType="application/vnd.openxmlformats-officedocument.drawingml.chart+xml"/>
  <Override PartName="/xl/charts/chart8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0.xml" ContentType="application/vnd.openxmlformats-officedocument.drawing+xml"/>
  <Override PartName="/xl/charts/chart73.xml" ContentType="application/vnd.openxmlformats-officedocument.drawingml.chart+xml"/>
  <Override PartName="/xl/worksheets/sheet1.xml" ContentType="application/vnd.openxmlformats-officedocument.spreadsheetml.worksheet+xml"/>
  <Override PartName="/xl/charts/chart68.xml" ContentType="application/vnd.openxmlformats-officedocument.drawingml.chart+xml"/>
  <Override PartName="/xl/charts/chart67.xml" ContentType="application/vnd.openxmlformats-officedocument.drawingml.chart+xml"/>
  <Override PartName="/xl/charts/chart64.xml" ContentType="application/vnd.openxmlformats-officedocument.drawingml.chart+xml"/>
  <Override PartName="/xl/drawings/drawing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2.xml" ContentType="application/vnd.openxmlformats-officedocument.drawingml.chart+xml"/>
  <Override PartName="/xl/charts/chart81.xml" ContentType="application/vnd.openxmlformats-officedocument.drawingml.chart+xml"/>
  <Override PartName="/xl/drawings/drawing1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112.xml" ContentType="application/vnd.openxmlformats-officedocument.drawingml.chart+xml"/>
  <Override PartName="/xl/drawings/drawing15.xml" ContentType="application/vnd.openxmlformats-officedocument.drawing+xml"/>
  <Override PartName="/xl/charts/chart113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20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63.xml" ContentType="application/vnd.openxmlformats-officedocument.drawingml.chart+xml"/>
  <Override PartName="/xl/charts/chart69.xml" ContentType="application/vnd.openxmlformats-officedocument.drawingml.chart+xml"/>
  <Override PartName="/xl/charts/chart6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62.xml" ContentType="application/vnd.openxmlformats-officedocument.drawingml.chart+xml"/>
  <Override PartName="/xl/theme/themeOverride4.xml" ContentType="application/vnd.openxmlformats-officedocument.themeOverride+xml"/>
  <Override PartName="/xl/charts/chart16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charts/chart21.xml" ContentType="application/vnd.openxmlformats-officedocument.drawingml.chart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2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56.xml" ContentType="application/vnd.openxmlformats-officedocument.drawingml.chart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5.xml" ContentType="application/vnd.openxmlformats-officedocument.drawing+xml"/>
  <Override PartName="/xl/charts/chart35.xml" ContentType="application/vnd.openxmlformats-officedocument.drawingml.chart+xml"/>
  <Override PartName="/xl/charts/chart26.xml" ContentType="application/vnd.openxmlformats-officedocument.drawingml.chart+xml"/>
  <Override PartName="/xl/theme/themeOverride6.xml" ContentType="application/vnd.openxmlformats-officedocument.themeOverride+xml"/>
  <Override PartName="/xl/charts/chart2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theme/themeOverride8.xml" ContentType="application/vnd.openxmlformats-officedocument.themeOverride+xml"/>
  <Override PartName="/xl/charts/chart28.xml" ContentType="application/vnd.openxmlformats-officedocument.drawingml.chart+xml"/>
  <Override PartName="/xl/charts/chart24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0380" windowHeight="6300" tabRatio="936"/>
  </bookViews>
  <sheets>
    <sheet name="2013 Q4 GF" sheetId="48086" r:id="rId1"/>
    <sheet name="2013 Q3 GF" sheetId="48085" r:id="rId2"/>
    <sheet name="2013 Q2 GF" sheetId="48083" r:id="rId3"/>
    <sheet name="2013 Q1 GF" sheetId="48082" r:id="rId4"/>
    <sheet name="2012 Q4 GF" sheetId="48081" r:id="rId5"/>
    <sheet name="2012 Q3 GF" sheetId="48080" r:id="rId6"/>
    <sheet name="2012 Q2 GF" sheetId="48079" r:id="rId7"/>
    <sheet name="2012 Q1 GF" sheetId="48078" r:id="rId8"/>
    <sheet name="2011 Q4 GF" sheetId="48076" r:id="rId9"/>
    <sheet name="2011 Q3 GF" sheetId="48075" r:id="rId10"/>
    <sheet name="2011 Q2 GF" sheetId="48074" r:id="rId11"/>
    <sheet name="2011 Q1 GF" sheetId="48042" r:id="rId12"/>
    <sheet name="2010 Q4 GF" sheetId="48065" r:id="rId13"/>
    <sheet name="2010 Q3 GF" sheetId="48064" r:id="rId14"/>
    <sheet name="2010 Q2 GF" sheetId="48063" r:id="rId15"/>
    <sheet name="FY2010 Rev as of 10-13-10" sheetId="48070" r:id="rId16"/>
    <sheet name="FY2010 Exp as of 10-13-10 " sheetId="48071" r:id="rId17"/>
    <sheet name="FY2010 Rev as of 07-13-10" sheetId="48068" r:id="rId18"/>
    <sheet name="FY2010 Exp as of 07-13-10" sheetId="48069" r:id="rId19"/>
    <sheet name="FY2010 Rev as of 04-05-10" sheetId="48066" r:id="rId20"/>
    <sheet name="FY2010 Exp as of 04-05-10" sheetId="48067" r:id="rId21"/>
    <sheet name="FY 2010 Rev as of 01-04-10" sheetId="48058" r:id="rId22"/>
    <sheet name="FY 2010 Exp as of 01-06-10" sheetId="48059" r:id="rId23"/>
    <sheet name="FY 2009 Rev 01-04-10" sheetId="48057" r:id="rId24"/>
    <sheet name="FY 2009 Exp 01-06-10" sheetId="48061" r:id="rId25"/>
    <sheet name="FY 2008 Rev 01-04-10" sheetId="48060" r:id="rId26"/>
    <sheet name="FY 2008 Exp 01-06-10" sheetId="48062" r:id="rId27"/>
    <sheet name="FY2010 Exp as of 01-14-11" sheetId="48072" r:id="rId28"/>
    <sheet name="FY2010 Rev as of 01-14-11" sheetId="48073" r:id="rId29"/>
  </sheets>
  <definedNames>
    <definedName name="account" localSheetId="3">#REF!</definedName>
    <definedName name="account" localSheetId="2">#REF!</definedName>
    <definedName name="account" localSheetId="1">#REF!</definedName>
    <definedName name="account" localSheetId="0">#REF!</definedName>
    <definedName name="account">#REF!</definedName>
    <definedName name="budget" localSheetId="3">#REF!</definedName>
    <definedName name="budget" localSheetId="2">#REF!</definedName>
    <definedName name="budget" localSheetId="1">#REF!</definedName>
    <definedName name="budget" localSheetId="0">#REF!</definedName>
    <definedName name="budget">#REF!</definedName>
    <definedName name="Fundnames" localSheetId="3">#REF!</definedName>
    <definedName name="Fundnames" localSheetId="2">#REF!</definedName>
    <definedName name="Fundnames" localSheetId="1">#REF!</definedName>
    <definedName name="Fundnames" localSheetId="0">#REF!</definedName>
    <definedName name="Fundnames">#REF!</definedName>
    <definedName name="_xlnm.Print_Area" localSheetId="14">'2010 Q2 GF'!$A$1:$F$137</definedName>
    <definedName name="_xlnm.Print_Area" localSheetId="13">'2010 Q3 GF'!$A$1:$F$137</definedName>
    <definedName name="_xlnm.Print_Area" localSheetId="12">'2010 Q4 GF'!$A$1:$F$137</definedName>
    <definedName name="_xlnm.Print_Area" localSheetId="11">'2011 Q1 GF'!$A$1:$F$139</definedName>
    <definedName name="_xlnm.Print_Area" localSheetId="10">'2011 Q2 GF'!$A$1:$F$145</definedName>
    <definedName name="_xlnm.Print_Area" localSheetId="9">'2011 Q3 GF'!$A$1:$F$145</definedName>
    <definedName name="_xlnm.Print_Area" localSheetId="8">'2011 Q4 GF'!$A$1:$F$145</definedName>
    <definedName name="_xlnm.Print_Area" localSheetId="7">'2012 Q1 GF'!$A$1:$F$139</definedName>
    <definedName name="_xlnm.Print_Area" localSheetId="6">'2012 Q2 GF'!$A$1:$F$139</definedName>
    <definedName name="_xlnm.Print_Area" localSheetId="5">'2012 Q3 GF'!$A$1:$F$139</definedName>
    <definedName name="_xlnm.Print_Area" localSheetId="4">'2012 Q4 GF'!$A$1:$F$139</definedName>
    <definedName name="_xlnm.Print_Area" localSheetId="3">'2013 Q1 GF'!$A$1:$F$136</definedName>
    <definedName name="_xlnm.Print_Area" localSheetId="2">'2013 Q2 GF'!$A$1:$F$136</definedName>
    <definedName name="_xlnm.Print_Area" localSheetId="1">'2013 Q3 GF'!$A$1:$F$136</definedName>
    <definedName name="_xlnm.Print_Area" localSheetId="0">'2013 Q4 GF'!$A$1:$F$136</definedName>
    <definedName name="_xlnm.Print_Area" localSheetId="21">'FY 2010 Rev as of 01-04-10'!$A$1:$D$34</definedName>
    <definedName name="_xlnm.Print_Area">#REF!</definedName>
    <definedName name="_xlnm.Print_Titles" localSheetId="26">'FY 2008 Exp 01-06-10'!$1:$1</definedName>
    <definedName name="_xlnm.Print_Titles" localSheetId="25">'FY 2008 Rev 01-04-10'!$1:$1</definedName>
    <definedName name="_xlnm.Print_Titles" localSheetId="24">'FY 2009 Exp 01-06-10'!$1:$1</definedName>
    <definedName name="_xlnm.Print_Titles" localSheetId="23">'FY 2009 Rev 01-04-10'!$1:$1</definedName>
    <definedName name="_xlnm.Print_Titles" localSheetId="22">'FY 2010 Exp as of 01-06-10'!$1:$1</definedName>
    <definedName name="_xlnm.Print_Titles" localSheetId="21">'FY 2010 Rev as of 01-04-10'!$A:$B,'FY 2010 Rev as of 01-04-10'!$1:$2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Z24" i="48086" l="1"/>
  <c r="AA60" i="48086"/>
  <c r="H22" i="48086"/>
  <c r="G60" i="48086"/>
  <c r="G59" i="48086"/>
  <c r="G58" i="48086"/>
  <c r="G57" i="48086"/>
  <c r="G56" i="48086"/>
  <c r="G55" i="48086"/>
  <c r="G54" i="48086"/>
  <c r="G53" i="48086"/>
  <c r="G52" i="48086"/>
  <c r="G51" i="48086"/>
  <c r="G50" i="48086"/>
  <c r="G49" i="48086"/>
  <c r="L23" i="48086"/>
  <c r="D23" i="48086" s="1"/>
  <c r="E23" i="48086" s="1"/>
  <c r="L22" i="48086"/>
  <c r="D22" i="48086" s="1"/>
  <c r="E22" i="48086" s="1"/>
  <c r="L20" i="48086"/>
  <c r="D20" i="48086" s="1"/>
  <c r="E20" i="48086" s="1"/>
  <c r="L19" i="48086"/>
  <c r="M19" i="48086" s="1"/>
  <c r="L18" i="48086"/>
  <c r="V24" i="48086"/>
  <c r="R24" i="48086"/>
  <c r="O24" i="48086"/>
  <c r="G24" i="48086"/>
  <c r="G23" i="48086"/>
  <c r="G22" i="48086"/>
  <c r="G21" i="48086"/>
  <c r="G20" i="48086"/>
  <c r="G19" i="48086"/>
  <c r="G18" i="48086"/>
  <c r="G17" i="48086"/>
  <c r="W60" i="48086"/>
  <c r="S60" i="48086"/>
  <c r="O60" i="48086"/>
  <c r="L60" i="48086"/>
  <c r="M60" i="48086" s="1"/>
  <c r="K60" i="48086"/>
  <c r="M59" i="48086"/>
  <c r="D59" i="48086"/>
  <c r="E59" i="48086" s="1"/>
  <c r="C59" i="48086"/>
  <c r="M58" i="48086"/>
  <c r="D58" i="48086"/>
  <c r="E58" i="48086" s="1"/>
  <c r="C58" i="48086"/>
  <c r="H58" i="48086" s="1"/>
  <c r="M57" i="48086"/>
  <c r="D57" i="48086"/>
  <c r="E57" i="48086" s="1"/>
  <c r="C57" i="48086"/>
  <c r="M56" i="48086"/>
  <c r="D56" i="48086"/>
  <c r="E56" i="48086" s="1"/>
  <c r="C56" i="48086"/>
  <c r="M55" i="48086"/>
  <c r="D55" i="48086"/>
  <c r="E55" i="48086" s="1"/>
  <c r="C55" i="48086"/>
  <c r="M54" i="48086"/>
  <c r="D54" i="48086"/>
  <c r="E54" i="48086" s="1"/>
  <c r="C54" i="48086"/>
  <c r="H54" i="48086" s="1"/>
  <c r="M53" i="48086"/>
  <c r="D53" i="48086"/>
  <c r="E53" i="48086" s="1"/>
  <c r="C53" i="48086"/>
  <c r="M52" i="48086"/>
  <c r="E52" i="48086"/>
  <c r="D52" i="48086"/>
  <c r="C52" i="48086"/>
  <c r="M51" i="48086"/>
  <c r="D51" i="48086"/>
  <c r="E51" i="48086" s="1"/>
  <c r="C51" i="48086"/>
  <c r="M50" i="48086"/>
  <c r="D50" i="48086"/>
  <c r="E50" i="48086" s="1"/>
  <c r="C50" i="48086"/>
  <c r="H50" i="48086" s="1"/>
  <c r="M49" i="48086"/>
  <c r="D49" i="48086"/>
  <c r="E49" i="48086" s="1"/>
  <c r="C49" i="48086"/>
  <c r="H49" i="48086" s="1"/>
  <c r="K24" i="48086"/>
  <c r="M23" i="48086"/>
  <c r="J23" i="48086"/>
  <c r="C23" i="48086"/>
  <c r="J22" i="48086"/>
  <c r="C22" i="48086"/>
  <c r="M21" i="48086"/>
  <c r="J21" i="48086"/>
  <c r="D21" i="48086"/>
  <c r="E21" i="48086" s="1"/>
  <c r="C21" i="48086"/>
  <c r="J20" i="48086"/>
  <c r="C20" i="48086"/>
  <c r="J19" i="48086"/>
  <c r="D19" i="48086"/>
  <c r="E19" i="48086" s="1"/>
  <c r="C19" i="48086"/>
  <c r="M18" i="48086"/>
  <c r="J18" i="48086"/>
  <c r="D18" i="48086"/>
  <c r="E18" i="48086" s="1"/>
  <c r="C18" i="48086"/>
  <c r="F18" i="48086" s="1"/>
  <c r="M17" i="48086"/>
  <c r="J17" i="48086"/>
  <c r="D17" i="48086"/>
  <c r="C17" i="48086"/>
  <c r="H53" i="48086" l="1"/>
  <c r="H57" i="48086"/>
  <c r="H56" i="48086"/>
  <c r="H52" i="48086"/>
  <c r="F55" i="48086"/>
  <c r="F51" i="48086"/>
  <c r="F59" i="48086"/>
  <c r="F23" i="48086"/>
  <c r="M22" i="48086"/>
  <c r="D24" i="48086"/>
  <c r="E24" i="48086" s="1"/>
  <c r="H20" i="48086"/>
  <c r="M20" i="48086"/>
  <c r="L24" i="48086"/>
  <c r="M24" i="48086" s="1"/>
  <c r="F50" i="48086"/>
  <c r="H51" i="48086"/>
  <c r="F54" i="48086"/>
  <c r="H55" i="48086"/>
  <c r="F58" i="48086"/>
  <c r="E17" i="48086"/>
  <c r="F19" i="48086"/>
  <c r="F20" i="48086"/>
  <c r="F21" i="48086"/>
  <c r="F22" i="48086"/>
  <c r="C24" i="48086"/>
  <c r="F49" i="48086"/>
  <c r="F53" i="48086"/>
  <c r="F57" i="48086"/>
  <c r="C60" i="48086"/>
  <c r="F17" i="48086"/>
  <c r="F52" i="48086"/>
  <c r="F56" i="48086"/>
  <c r="D60" i="48086"/>
  <c r="E60" i="48086" s="1"/>
  <c r="L23" i="48085"/>
  <c r="D23" i="48085" s="1"/>
  <c r="E23" i="48085" s="1"/>
  <c r="AA60" i="48085"/>
  <c r="W60" i="48085"/>
  <c r="S60" i="48085"/>
  <c r="O60" i="48085"/>
  <c r="G50" i="48085"/>
  <c r="G51" i="48085"/>
  <c r="G52" i="48085"/>
  <c r="G53" i="48085"/>
  <c r="G54" i="48085"/>
  <c r="G55" i="48085"/>
  <c r="G56" i="48085"/>
  <c r="G57" i="48085"/>
  <c r="G58" i="48085"/>
  <c r="G59" i="48085"/>
  <c r="G60" i="48085"/>
  <c r="G49" i="48085"/>
  <c r="G18" i="48085"/>
  <c r="G19" i="48085"/>
  <c r="G20" i="48085"/>
  <c r="G21" i="48085"/>
  <c r="G22" i="48085"/>
  <c r="G23" i="48085"/>
  <c r="G24" i="48085"/>
  <c r="G17" i="48085"/>
  <c r="L60" i="48085"/>
  <c r="M60" i="48085" s="1"/>
  <c r="K60" i="48085"/>
  <c r="M59" i="48085"/>
  <c r="D59" i="48085"/>
  <c r="E59" i="48085" s="1"/>
  <c r="C59" i="48085"/>
  <c r="F59" i="48085" s="1"/>
  <c r="M58" i="48085"/>
  <c r="D58" i="48085"/>
  <c r="E58" i="48085" s="1"/>
  <c r="C58" i="48085"/>
  <c r="H58" i="48085" s="1"/>
  <c r="M57" i="48085"/>
  <c r="D57" i="48085"/>
  <c r="E57" i="48085" s="1"/>
  <c r="C57" i="48085"/>
  <c r="M56" i="48085"/>
  <c r="D56" i="48085"/>
  <c r="E56" i="48085" s="1"/>
  <c r="C56" i="48085"/>
  <c r="M55" i="48085"/>
  <c r="D55" i="48085"/>
  <c r="E55" i="48085" s="1"/>
  <c r="C55" i="48085"/>
  <c r="F55" i="48085" s="1"/>
  <c r="M54" i="48085"/>
  <c r="D54" i="48085"/>
  <c r="E54" i="48085" s="1"/>
  <c r="C54" i="48085"/>
  <c r="H54" i="48085" s="1"/>
  <c r="M53" i="48085"/>
  <c r="D53" i="48085"/>
  <c r="E53" i="48085" s="1"/>
  <c r="C53" i="48085"/>
  <c r="H53" i="48085" s="1"/>
  <c r="M52" i="48085"/>
  <c r="D52" i="48085"/>
  <c r="E52" i="48085" s="1"/>
  <c r="C52" i="48085"/>
  <c r="H52" i="48085" s="1"/>
  <c r="M51" i="48085"/>
  <c r="D51" i="48085"/>
  <c r="E51" i="48085" s="1"/>
  <c r="C51" i="48085"/>
  <c r="M50" i="48085"/>
  <c r="D50" i="48085"/>
  <c r="E50" i="48085" s="1"/>
  <c r="C50" i="48085"/>
  <c r="M49" i="48085"/>
  <c r="D49" i="48085"/>
  <c r="E49" i="48085" s="1"/>
  <c r="C49" i="48085"/>
  <c r="K24" i="48085"/>
  <c r="M23" i="48085"/>
  <c r="J23" i="48085"/>
  <c r="C23" i="48085"/>
  <c r="M22" i="48085"/>
  <c r="J22" i="48085"/>
  <c r="D22" i="48085"/>
  <c r="C22" i="48085"/>
  <c r="M21" i="48085"/>
  <c r="J21" i="48085"/>
  <c r="D21" i="48085"/>
  <c r="C21" i="48085"/>
  <c r="H21" i="48085" s="1"/>
  <c r="M20" i="48085"/>
  <c r="J20" i="48085"/>
  <c r="D20" i="48085"/>
  <c r="C20" i="48085"/>
  <c r="D19" i="48085"/>
  <c r="J19" i="48085"/>
  <c r="C19" i="48085"/>
  <c r="H19" i="48085" s="1"/>
  <c r="L24" i="48085"/>
  <c r="M24" i="48085" s="1"/>
  <c r="J18" i="48085"/>
  <c r="C18" i="48085"/>
  <c r="M17" i="48085"/>
  <c r="J17" i="48085"/>
  <c r="D17" i="48085"/>
  <c r="E17" i="48085" s="1"/>
  <c r="C17" i="48085"/>
  <c r="F24" i="48086" l="1"/>
  <c r="F60" i="48086"/>
  <c r="F23" i="48085"/>
  <c r="H22" i="48085"/>
  <c r="H57" i="48085"/>
  <c r="H56" i="48085"/>
  <c r="F51" i="48085"/>
  <c r="H50" i="48085"/>
  <c r="H49" i="48085"/>
  <c r="F20" i="48085"/>
  <c r="E19" i="48085"/>
  <c r="H20" i="48085"/>
  <c r="F21" i="48085"/>
  <c r="F22" i="48085"/>
  <c r="F50" i="48085"/>
  <c r="H51" i="48085"/>
  <c r="F54" i="48085"/>
  <c r="H55" i="48085"/>
  <c r="F58" i="48085"/>
  <c r="F17" i="48085"/>
  <c r="M18" i="48085"/>
  <c r="E20" i="48085"/>
  <c r="C24" i="48085"/>
  <c r="F49" i="48085"/>
  <c r="F53" i="48085"/>
  <c r="F57" i="48085"/>
  <c r="C60" i="48085"/>
  <c r="D18" i="48085"/>
  <c r="D24" i="48085" s="1"/>
  <c r="E24" i="48085" s="1"/>
  <c r="F19" i="48085"/>
  <c r="M19" i="48085"/>
  <c r="E21" i="48085"/>
  <c r="E22" i="48085"/>
  <c r="F52" i="48085"/>
  <c r="F56" i="48085"/>
  <c r="D60" i="48085"/>
  <c r="E60" i="48085" s="1"/>
  <c r="L23" i="48083"/>
  <c r="L22" i="48083"/>
  <c r="L20" i="48083"/>
  <c r="L19" i="48083"/>
  <c r="L18" i="48083"/>
  <c r="G60" i="48083"/>
  <c r="G59" i="48083"/>
  <c r="G58" i="48083"/>
  <c r="G57" i="48083"/>
  <c r="G56" i="48083"/>
  <c r="G55" i="48083"/>
  <c r="G54" i="48083"/>
  <c r="G53" i="48083"/>
  <c r="G52" i="48083"/>
  <c r="G51" i="48083"/>
  <c r="G50" i="48083"/>
  <c r="G49" i="48083"/>
  <c r="G24" i="48083"/>
  <c r="G23" i="48083"/>
  <c r="G22" i="48083"/>
  <c r="G21" i="48083"/>
  <c r="G20" i="48083"/>
  <c r="G19" i="48083"/>
  <c r="G18" i="48083"/>
  <c r="G17" i="48083"/>
  <c r="E18" i="48085" l="1"/>
  <c r="F18" i="48085"/>
  <c r="F60" i="48085"/>
  <c r="F24" i="48085"/>
  <c r="L60" i="48083"/>
  <c r="M60" i="48083" s="1"/>
  <c r="K60" i="48083"/>
  <c r="M59" i="48083"/>
  <c r="E59" i="48083"/>
  <c r="D59" i="48083"/>
  <c r="C59" i="48083"/>
  <c r="M58" i="48083"/>
  <c r="F58" i="48083"/>
  <c r="D58" i="48083"/>
  <c r="C58" i="48083"/>
  <c r="M57" i="48083"/>
  <c r="D57" i="48083"/>
  <c r="H57" i="48083" s="1"/>
  <c r="C57" i="48083"/>
  <c r="F57" i="48083" s="1"/>
  <c r="M56" i="48083"/>
  <c r="D56" i="48083"/>
  <c r="E56" i="48083" s="1"/>
  <c r="C56" i="48083"/>
  <c r="M55" i="48083"/>
  <c r="D55" i="48083"/>
  <c r="E55" i="48083" s="1"/>
  <c r="C55" i="48083"/>
  <c r="M54" i="48083"/>
  <c r="F54" i="48083"/>
  <c r="D54" i="48083"/>
  <c r="C54" i="48083"/>
  <c r="H54" i="48083" s="1"/>
  <c r="M53" i="48083"/>
  <c r="D53" i="48083"/>
  <c r="H53" i="48083" s="1"/>
  <c r="C53" i="48083"/>
  <c r="M52" i="48083"/>
  <c r="H52" i="48083"/>
  <c r="E52" i="48083"/>
  <c r="D52" i="48083"/>
  <c r="C52" i="48083"/>
  <c r="F52" i="48083" s="1"/>
  <c r="M51" i="48083"/>
  <c r="D51" i="48083"/>
  <c r="E51" i="48083" s="1"/>
  <c r="C51" i="48083"/>
  <c r="M50" i="48083"/>
  <c r="D50" i="48083"/>
  <c r="C50" i="48083"/>
  <c r="M49" i="48083"/>
  <c r="F49" i="48083"/>
  <c r="E49" i="48083"/>
  <c r="D49" i="48083"/>
  <c r="C49" i="48083"/>
  <c r="K24" i="48083"/>
  <c r="M23" i="48083"/>
  <c r="J23" i="48083"/>
  <c r="D23" i="48083"/>
  <c r="F23" i="48083" s="1"/>
  <c r="C23" i="48083"/>
  <c r="M22" i="48083"/>
  <c r="D22" i="48083"/>
  <c r="J22" i="48083"/>
  <c r="C22" i="48083"/>
  <c r="M21" i="48083"/>
  <c r="J21" i="48083"/>
  <c r="D21" i="48083"/>
  <c r="E21" i="48083" s="1"/>
  <c r="C21" i="48083"/>
  <c r="M20" i="48083"/>
  <c r="J20" i="48083"/>
  <c r="D20" i="48083"/>
  <c r="E20" i="48083" s="1"/>
  <c r="C20" i="48083"/>
  <c r="M19" i="48083"/>
  <c r="J19" i="48083"/>
  <c r="D19" i="48083"/>
  <c r="E19" i="48083" s="1"/>
  <c r="C19" i="48083"/>
  <c r="M18" i="48083"/>
  <c r="J18" i="48083"/>
  <c r="D18" i="48083"/>
  <c r="C18" i="48083"/>
  <c r="H18" i="48083" s="1"/>
  <c r="M17" i="48083"/>
  <c r="J17" i="48083"/>
  <c r="D17" i="48083"/>
  <c r="C17" i="48083"/>
  <c r="H17" i="48083" s="1"/>
  <c r="H58" i="48083" l="1"/>
  <c r="H56" i="48083"/>
  <c r="F56" i="48083"/>
  <c r="H55" i="48083"/>
  <c r="F53" i="48083"/>
  <c r="H51" i="48083"/>
  <c r="F50" i="48083"/>
  <c r="H22" i="48083"/>
  <c r="H21" i="48083"/>
  <c r="H20" i="48083"/>
  <c r="E22" i="48083"/>
  <c r="F22" i="48083"/>
  <c r="H19" i="48083"/>
  <c r="H50" i="48083"/>
  <c r="E50" i="48083"/>
  <c r="D60" i="48083"/>
  <c r="E17" i="48083"/>
  <c r="F18" i="48083"/>
  <c r="L24" i="48083"/>
  <c r="M24" i="48083" s="1"/>
  <c r="F20" i="48083"/>
  <c r="C24" i="48083"/>
  <c r="C60" i="48083"/>
  <c r="H49" i="48083"/>
  <c r="E53" i="48083"/>
  <c r="E54" i="48083"/>
  <c r="E57" i="48083"/>
  <c r="E58" i="48083"/>
  <c r="F17" i="48083"/>
  <c r="E18" i="48083"/>
  <c r="F19" i="48083"/>
  <c r="E23" i="48083"/>
  <c r="F21" i="48083"/>
  <c r="D24" i="48083"/>
  <c r="E24" i="48083" s="1"/>
  <c r="F51" i="48083"/>
  <c r="F55" i="48083"/>
  <c r="F59" i="48083"/>
  <c r="D59" i="48082"/>
  <c r="D58" i="48082"/>
  <c r="D57" i="48082"/>
  <c r="D56" i="48082"/>
  <c r="D55" i="48082"/>
  <c r="D54" i="48082"/>
  <c r="D53" i="48082"/>
  <c r="D52" i="48082"/>
  <c r="D51" i="48082"/>
  <c r="D50" i="48082"/>
  <c r="D49" i="48082"/>
  <c r="E49" i="48082" s="1"/>
  <c r="C59" i="48082"/>
  <c r="C58" i="48082"/>
  <c r="G58" i="48082" s="1"/>
  <c r="F58" i="48082" s="1"/>
  <c r="C57" i="48082"/>
  <c r="C56" i="48082"/>
  <c r="G56" i="48082" s="1"/>
  <c r="C55" i="48082"/>
  <c r="C54" i="48082"/>
  <c r="C53" i="48082"/>
  <c r="G53" i="48082" s="1"/>
  <c r="C52" i="48082"/>
  <c r="C51" i="48082"/>
  <c r="C50" i="48082"/>
  <c r="C49" i="48082"/>
  <c r="D22" i="48082"/>
  <c r="D21" i="48082"/>
  <c r="D18" i="48082"/>
  <c r="D17" i="48082"/>
  <c r="C23" i="48082"/>
  <c r="C22" i="48082"/>
  <c r="C21" i="48082"/>
  <c r="C20" i="48082"/>
  <c r="C19" i="48082"/>
  <c r="C18" i="48082"/>
  <c r="C17" i="48082"/>
  <c r="L23" i="48082"/>
  <c r="M23" i="48082" s="1"/>
  <c r="L22" i="48082"/>
  <c r="M22" i="48082" s="1"/>
  <c r="L20" i="48082"/>
  <c r="D20" i="48082" s="1"/>
  <c r="L19" i="48082"/>
  <c r="L24" i="48082" s="1"/>
  <c r="M21" i="48082"/>
  <c r="M18" i="48082"/>
  <c r="M17" i="48082"/>
  <c r="K24" i="48082"/>
  <c r="L60" i="48082"/>
  <c r="K60" i="48082"/>
  <c r="M59" i="48082"/>
  <c r="M58" i="48082"/>
  <c r="M57" i="48082"/>
  <c r="M56" i="48082"/>
  <c r="M55" i="48082"/>
  <c r="M54" i="48082"/>
  <c r="M53" i="48082"/>
  <c r="M52" i="48082"/>
  <c r="M51" i="48082"/>
  <c r="M50" i="48082"/>
  <c r="M49" i="48082"/>
  <c r="W60" i="48082"/>
  <c r="V60" i="48082"/>
  <c r="S60" i="48082"/>
  <c r="R60" i="48082"/>
  <c r="O60" i="48082"/>
  <c r="N60" i="48082"/>
  <c r="AI59" i="48082"/>
  <c r="AG59" i="48082"/>
  <c r="AF59" i="48082"/>
  <c r="AC59" i="48082"/>
  <c r="AA59" i="48082"/>
  <c r="Z59" i="48082"/>
  <c r="AE59" i="48082" s="1"/>
  <c r="Y59" i="48082"/>
  <c r="X59" i="48082"/>
  <c r="U59" i="48082"/>
  <c r="T59" i="48082"/>
  <c r="Q59" i="48082"/>
  <c r="P59" i="48082"/>
  <c r="G59" i="48082"/>
  <c r="F59" i="48082" s="1"/>
  <c r="AI58" i="48082"/>
  <c r="AJ58" i="48082" s="1"/>
  <c r="AG58" i="48082"/>
  <c r="AH58" i="48082" s="1"/>
  <c r="AF58" i="48082"/>
  <c r="AE58" i="48082"/>
  <c r="AC58" i="48082"/>
  <c r="AA58" i="48082"/>
  <c r="Z58" i="48082"/>
  <c r="Y58" i="48082"/>
  <c r="X58" i="48082"/>
  <c r="U58" i="48082"/>
  <c r="T58" i="48082"/>
  <c r="Q58" i="48082"/>
  <c r="P58" i="48082"/>
  <c r="E58" i="48082"/>
  <c r="AI57" i="48082"/>
  <c r="AG57" i="48082"/>
  <c r="AH57" i="48082" s="1"/>
  <c r="AF57" i="48082"/>
  <c r="AC57" i="48082"/>
  <c r="AA57" i="48082"/>
  <c r="Z57" i="48082"/>
  <c r="Y57" i="48082"/>
  <c r="X57" i="48082"/>
  <c r="U57" i="48082"/>
  <c r="T57" i="48082"/>
  <c r="Q57" i="48082"/>
  <c r="P57" i="48082"/>
  <c r="G57" i="48082"/>
  <c r="AI56" i="48082"/>
  <c r="AG56" i="48082"/>
  <c r="AF56" i="48082"/>
  <c r="AC56" i="48082"/>
  <c r="AA56" i="48082"/>
  <c r="Z56" i="48082"/>
  <c r="Y56" i="48082"/>
  <c r="X56" i="48082"/>
  <c r="U56" i="48082"/>
  <c r="T56" i="48082"/>
  <c r="Q56" i="48082"/>
  <c r="P56" i="48082"/>
  <c r="AI55" i="48082"/>
  <c r="AJ55" i="48082" s="1"/>
  <c r="AG55" i="48082"/>
  <c r="AF55" i="48082"/>
  <c r="AE55" i="48082"/>
  <c r="AC55" i="48082"/>
  <c r="AA55" i="48082"/>
  <c r="Z55" i="48082"/>
  <c r="Y55" i="48082"/>
  <c r="X55" i="48082"/>
  <c r="U55" i="48082"/>
  <c r="T55" i="48082"/>
  <c r="Q55" i="48082"/>
  <c r="P55" i="48082"/>
  <c r="E55" i="48082"/>
  <c r="G55" i="48082"/>
  <c r="AI54" i="48082"/>
  <c r="AJ54" i="48082" s="1"/>
  <c r="AG54" i="48082"/>
  <c r="AH54" i="48082" s="1"/>
  <c r="AF54" i="48082"/>
  <c r="AC54" i="48082"/>
  <c r="AA54" i="48082"/>
  <c r="Z54" i="48082"/>
  <c r="AE54" i="48082" s="1"/>
  <c r="Y54" i="48082"/>
  <c r="X54" i="48082"/>
  <c r="U54" i="48082"/>
  <c r="T54" i="48082"/>
  <c r="Q54" i="48082"/>
  <c r="P54" i="48082"/>
  <c r="E54" i="48082"/>
  <c r="G54" i="48082"/>
  <c r="F54" i="48082" s="1"/>
  <c r="AI53" i="48082"/>
  <c r="AG53" i="48082"/>
  <c r="AH53" i="48082" s="1"/>
  <c r="AF53" i="48082"/>
  <c r="AC53" i="48082"/>
  <c r="AA53" i="48082"/>
  <c r="Z53" i="48082"/>
  <c r="AE53" i="48082" s="1"/>
  <c r="Y53" i="48082"/>
  <c r="X53" i="48082"/>
  <c r="U53" i="48082"/>
  <c r="T53" i="48082"/>
  <c r="Q53" i="48082"/>
  <c r="P53" i="48082"/>
  <c r="AI52" i="48082"/>
  <c r="AG52" i="48082"/>
  <c r="AF52" i="48082"/>
  <c r="AC52" i="48082"/>
  <c r="AA52" i="48082"/>
  <c r="Z52" i="48082"/>
  <c r="AE52" i="48082" s="1"/>
  <c r="Y52" i="48082"/>
  <c r="X52" i="48082"/>
  <c r="U52" i="48082"/>
  <c r="T52" i="48082"/>
  <c r="Q52" i="48082"/>
  <c r="P52" i="48082"/>
  <c r="G52" i="48082"/>
  <c r="AI51" i="48082"/>
  <c r="AJ51" i="48082" s="1"/>
  <c r="AG51" i="48082"/>
  <c r="AF51" i="48082"/>
  <c r="AC51" i="48082"/>
  <c r="AA51" i="48082"/>
  <c r="Z51" i="48082"/>
  <c r="AE51" i="48082" s="1"/>
  <c r="Y51" i="48082"/>
  <c r="X51" i="48082"/>
  <c r="U51" i="48082"/>
  <c r="T51" i="48082"/>
  <c r="Q51" i="48082"/>
  <c r="P51" i="48082"/>
  <c r="E51" i="48082"/>
  <c r="G51" i="48082"/>
  <c r="F51" i="48082" s="1"/>
  <c r="AI50" i="48082"/>
  <c r="AG50" i="48082"/>
  <c r="AH50" i="48082" s="1"/>
  <c r="AF50" i="48082"/>
  <c r="AC50" i="48082"/>
  <c r="AA50" i="48082"/>
  <c r="Z50" i="48082"/>
  <c r="AE50" i="48082" s="1"/>
  <c r="Y50" i="48082"/>
  <c r="X50" i="48082"/>
  <c r="U50" i="48082"/>
  <c r="T50" i="48082"/>
  <c r="Q50" i="48082"/>
  <c r="P50" i="48082"/>
  <c r="E50" i="48082"/>
  <c r="G50" i="48082"/>
  <c r="F50" i="48082" s="1"/>
  <c r="AI49" i="48082"/>
  <c r="AG49" i="48082"/>
  <c r="AF49" i="48082"/>
  <c r="AC49" i="48082"/>
  <c r="AA49" i="48082"/>
  <c r="Z49" i="48082"/>
  <c r="Y49" i="48082"/>
  <c r="Y60" i="48082" s="1"/>
  <c r="X49" i="48082"/>
  <c r="U49" i="48082"/>
  <c r="T49" i="48082"/>
  <c r="Q49" i="48082"/>
  <c r="Q60" i="48082" s="1"/>
  <c r="P49" i="48082"/>
  <c r="V24" i="48082"/>
  <c r="Q24" i="48082"/>
  <c r="N24" i="48082"/>
  <c r="AE23" i="48082"/>
  <c r="AD23" i="48082"/>
  <c r="AF23" i="48082" s="1"/>
  <c r="AC23" i="48082"/>
  <c r="AA23" i="48082"/>
  <c r="Z23" i="48082"/>
  <c r="AB23" i="48082" s="1"/>
  <c r="Y23" i="48082"/>
  <c r="W23" i="48082"/>
  <c r="X23" i="48082" s="1"/>
  <c r="U23" i="48082"/>
  <c r="S23" i="48082"/>
  <c r="T23" i="48082" s="1"/>
  <c r="O23" i="48082"/>
  <c r="J23" i="48082"/>
  <c r="G23" i="48082"/>
  <c r="AE22" i="48082"/>
  <c r="AD22" i="48082"/>
  <c r="AC22" i="48082"/>
  <c r="Z22" i="48082"/>
  <c r="AB22" i="48082" s="1"/>
  <c r="Y22" i="48082"/>
  <c r="X22" i="48082"/>
  <c r="T22" i="48082"/>
  <c r="R22" i="48082"/>
  <c r="P22" i="48082"/>
  <c r="J22" i="48082"/>
  <c r="G22" i="48082"/>
  <c r="AE21" i="48082"/>
  <c r="AD21" i="48082"/>
  <c r="AC21" i="48082"/>
  <c r="AA21" i="48082"/>
  <c r="Z21" i="48082"/>
  <c r="Y21" i="48082"/>
  <c r="X21" i="48082"/>
  <c r="T21" i="48082"/>
  <c r="P21" i="48082"/>
  <c r="J21" i="48082"/>
  <c r="G21" i="48082"/>
  <c r="F21" i="48082" s="1"/>
  <c r="AE20" i="48082"/>
  <c r="AD20" i="48082"/>
  <c r="AC20" i="48082"/>
  <c r="AA20" i="48082"/>
  <c r="Z20" i="48082"/>
  <c r="Y20" i="48082"/>
  <c r="X20" i="48082"/>
  <c r="R20" i="48082"/>
  <c r="T20" i="48082" s="1"/>
  <c r="P20" i="48082"/>
  <c r="J20" i="48082"/>
  <c r="AE19" i="48082"/>
  <c r="AD19" i="48082"/>
  <c r="AC19" i="48082"/>
  <c r="AA19" i="48082"/>
  <c r="Z19" i="48082"/>
  <c r="Y19" i="48082"/>
  <c r="X19" i="48082"/>
  <c r="R19" i="48082"/>
  <c r="T19" i="48082" s="1"/>
  <c r="P19" i="48082"/>
  <c r="J19" i="48082"/>
  <c r="G19" i="48082"/>
  <c r="AE18" i="48082"/>
  <c r="AD18" i="48082"/>
  <c r="AC18" i="48082"/>
  <c r="AA18" i="48082"/>
  <c r="Z18" i="48082"/>
  <c r="AB18" i="48082" s="1"/>
  <c r="Y18" i="48082"/>
  <c r="X18" i="48082"/>
  <c r="T18" i="48082"/>
  <c r="P18" i="48082"/>
  <c r="J18" i="48082"/>
  <c r="AE17" i="48082"/>
  <c r="AD17" i="48082"/>
  <c r="AF17" i="48082" s="1"/>
  <c r="AC17" i="48082"/>
  <c r="Z17" i="48082"/>
  <c r="AB17" i="48082" s="1"/>
  <c r="Y17" i="48082"/>
  <c r="X17" i="48082"/>
  <c r="T17" i="48082"/>
  <c r="P17" i="48082"/>
  <c r="J17" i="48082"/>
  <c r="H17" i="48082"/>
  <c r="F60" i="48083" l="1"/>
  <c r="E60" i="48083"/>
  <c r="F24" i="48083"/>
  <c r="D60" i="48082"/>
  <c r="AF19" i="48082"/>
  <c r="AF22" i="48082"/>
  <c r="S24" i="48082"/>
  <c r="Z60" i="48082"/>
  <c r="AG60" i="48082"/>
  <c r="AJ50" i="48082"/>
  <c r="F55" i="48082"/>
  <c r="AK55" i="48082"/>
  <c r="AK56" i="48082"/>
  <c r="AJ59" i="48082"/>
  <c r="T60" i="48082"/>
  <c r="M19" i="48082"/>
  <c r="D19" i="48082"/>
  <c r="H19" i="48082" s="1"/>
  <c r="D23" i="48082"/>
  <c r="E57" i="48082"/>
  <c r="R24" i="48082"/>
  <c r="AB19" i="48082"/>
  <c r="AF20" i="48082"/>
  <c r="U60" i="48082"/>
  <c r="AK51" i="48082"/>
  <c r="AE56" i="48082"/>
  <c r="M20" i="48082"/>
  <c r="AF18" i="48082"/>
  <c r="AB20" i="48082"/>
  <c r="AK50" i="48082"/>
  <c r="AK52" i="48082"/>
  <c r="AE57" i="48082"/>
  <c r="AK59" i="48082"/>
  <c r="F57" i="48082"/>
  <c r="F53" i="48082"/>
  <c r="F56" i="48082"/>
  <c r="F52" i="48082"/>
  <c r="E52" i="48082"/>
  <c r="C60" i="48082"/>
  <c r="G60" i="48082" s="1"/>
  <c r="F60" i="48082" s="1"/>
  <c r="E59" i="48082"/>
  <c r="E53" i="48082"/>
  <c r="E56" i="48082"/>
  <c r="H20" i="48082"/>
  <c r="E21" i="48082"/>
  <c r="C24" i="48082"/>
  <c r="G24" i="48082" s="1"/>
  <c r="E20" i="48082"/>
  <c r="M24" i="48082"/>
  <c r="M60" i="48082"/>
  <c r="AE24" i="48082"/>
  <c r="AC60" i="48082"/>
  <c r="AH56" i="48082"/>
  <c r="AF21" i="48082"/>
  <c r="AE49" i="48082"/>
  <c r="AH51" i="48082"/>
  <c r="AJ52" i="48082"/>
  <c r="AK54" i="48082"/>
  <c r="AH55" i="48082"/>
  <c r="AJ56" i="48082"/>
  <c r="AK58" i="48082"/>
  <c r="AH59" i="48082"/>
  <c r="Y24" i="48082"/>
  <c r="AH52" i="48082"/>
  <c r="AJ53" i="48082"/>
  <c r="AJ57" i="48082"/>
  <c r="AC24" i="48082"/>
  <c r="AB21" i="48082"/>
  <c r="AF60" i="48082"/>
  <c r="AK53" i="48082"/>
  <c r="AK57" i="48082"/>
  <c r="H18" i="48082"/>
  <c r="U18" i="48082"/>
  <c r="U24" i="48082" s="1"/>
  <c r="F22" i="48082"/>
  <c r="E22" i="48082"/>
  <c r="E17" i="48082"/>
  <c r="AA24" i="48082"/>
  <c r="H22" i="48082"/>
  <c r="O24" i="48082"/>
  <c r="P24" i="48082" s="1"/>
  <c r="P23" i="48082"/>
  <c r="Z24" i="48082"/>
  <c r="H49" i="48082"/>
  <c r="AD49" i="48082"/>
  <c r="AA60" i="48082"/>
  <c r="AB49" i="48082"/>
  <c r="AH60" i="48082"/>
  <c r="H50" i="48082"/>
  <c r="AD50" i="48082"/>
  <c r="AB50" i="48082"/>
  <c r="H51" i="48082"/>
  <c r="AD51" i="48082"/>
  <c r="AB51" i="48082"/>
  <c r="H52" i="48082"/>
  <c r="AD52" i="48082"/>
  <c r="AB52" i="48082"/>
  <c r="H53" i="48082"/>
  <c r="AD53" i="48082"/>
  <c r="AB53" i="48082"/>
  <c r="H54" i="48082"/>
  <c r="AD54" i="48082"/>
  <c r="AB54" i="48082"/>
  <c r="H55" i="48082"/>
  <c r="AD55" i="48082"/>
  <c r="AB55" i="48082"/>
  <c r="H56" i="48082"/>
  <c r="AD56" i="48082"/>
  <c r="AB56" i="48082"/>
  <c r="H57" i="48082"/>
  <c r="AD57" i="48082"/>
  <c r="AB57" i="48082"/>
  <c r="H58" i="48082"/>
  <c r="AD58" i="48082"/>
  <c r="AB58" i="48082"/>
  <c r="H59" i="48082"/>
  <c r="AD59" i="48082"/>
  <c r="AB59" i="48082"/>
  <c r="P60" i="48082"/>
  <c r="X60" i="48082"/>
  <c r="G18" i="48082"/>
  <c r="F18" i="48082" s="1"/>
  <c r="F19" i="48082"/>
  <c r="E19" i="48082"/>
  <c r="AD24" i="48082"/>
  <c r="AF24" i="48082" s="1"/>
  <c r="AI60" i="48082"/>
  <c r="AJ60" i="48082" s="1"/>
  <c r="AJ49" i="48082"/>
  <c r="W24" i="48082"/>
  <c r="X24" i="48082" s="1"/>
  <c r="E18" i="48082"/>
  <c r="G20" i="48082"/>
  <c r="F20" i="48082" s="1"/>
  <c r="H21" i="48082"/>
  <c r="H23" i="48082"/>
  <c r="AK49" i="48082"/>
  <c r="G17" i="48082"/>
  <c r="F17" i="48082" s="1"/>
  <c r="G49" i="48082"/>
  <c r="F49" i="48082" s="1"/>
  <c r="AH49" i="48082"/>
  <c r="AD59" i="48081"/>
  <c r="AD58" i="48081"/>
  <c r="AD57" i="48081"/>
  <c r="AD56" i="48081"/>
  <c r="AD55" i="48081"/>
  <c r="AD54" i="48081"/>
  <c r="AD53" i="48081"/>
  <c r="AD52" i="48081"/>
  <c r="AD51" i="48081"/>
  <c r="AD50" i="48081"/>
  <c r="AD49" i="48081"/>
  <c r="X59" i="48081"/>
  <c r="X58" i="48081"/>
  <c r="X57" i="48081"/>
  <c r="X56" i="48081"/>
  <c r="X55" i="48081"/>
  <c r="X54" i="48081"/>
  <c r="X53" i="48081"/>
  <c r="X52" i="48081"/>
  <c r="X51" i="48081"/>
  <c r="X50" i="48081"/>
  <c r="X49" i="48081"/>
  <c r="O23" i="48081"/>
  <c r="L23" i="48081"/>
  <c r="L22" i="48081"/>
  <c r="M22" i="48081"/>
  <c r="L20" i="48081"/>
  <c r="L24" i="48081" s="1"/>
  <c r="L19" i="48081"/>
  <c r="T60" i="48081"/>
  <c r="U60" i="48081" s="1"/>
  <c r="S60" i="48081"/>
  <c r="P60" i="48081"/>
  <c r="O60" i="48081"/>
  <c r="L60" i="48081"/>
  <c r="K60" i="48081"/>
  <c r="M60" i="48081" s="1"/>
  <c r="AF59" i="48081"/>
  <c r="AG59" i="48081" s="1"/>
  <c r="AC59" i="48081"/>
  <c r="AE59" i="48081" s="1"/>
  <c r="AH59" i="48081"/>
  <c r="Z59" i="48081"/>
  <c r="W59" i="48081"/>
  <c r="AB59" i="48081" s="1"/>
  <c r="V59" i="48081"/>
  <c r="U59" i="48081"/>
  <c r="R59" i="48081"/>
  <c r="Q59" i="48081"/>
  <c r="N59" i="48081"/>
  <c r="M59" i="48081"/>
  <c r="D59" i="48081"/>
  <c r="H59" i="48081" s="1"/>
  <c r="E59" i="48081"/>
  <c r="C59" i="48081"/>
  <c r="G59" i="48081" s="1"/>
  <c r="AF58" i="48081"/>
  <c r="AG58" i="48081"/>
  <c r="AE58" i="48081"/>
  <c r="AC58" i="48081"/>
  <c r="AH58" i="48081"/>
  <c r="AB58" i="48081"/>
  <c r="Z58" i="48081"/>
  <c r="W58" i="48081"/>
  <c r="V58" i="48081"/>
  <c r="U58" i="48081"/>
  <c r="R58" i="48081"/>
  <c r="Q58" i="48081"/>
  <c r="N58" i="48081"/>
  <c r="M58" i="48081"/>
  <c r="D58" i="48081"/>
  <c r="C58" i="48081"/>
  <c r="H58" i="48081" s="1"/>
  <c r="AF57" i="48081"/>
  <c r="AG57" i="48081"/>
  <c r="AC57" i="48081"/>
  <c r="AE57" i="48081" s="1"/>
  <c r="Z57" i="48081"/>
  <c r="W57" i="48081"/>
  <c r="AB57" i="48081" s="1"/>
  <c r="V57" i="48081"/>
  <c r="U57" i="48081"/>
  <c r="R57" i="48081"/>
  <c r="Q57" i="48081"/>
  <c r="N57" i="48081"/>
  <c r="M57" i="48081"/>
  <c r="D57" i="48081"/>
  <c r="E57" i="48081"/>
  <c r="C57" i="48081"/>
  <c r="G57" i="48081" s="1"/>
  <c r="AF56" i="48081"/>
  <c r="AG56" i="48081"/>
  <c r="AE56" i="48081"/>
  <c r="AC56" i="48081"/>
  <c r="AH56" i="48081"/>
  <c r="AB56" i="48081"/>
  <c r="Z56" i="48081"/>
  <c r="W56" i="48081"/>
  <c r="V56" i="48081"/>
  <c r="U56" i="48081"/>
  <c r="R56" i="48081"/>
  <c r="Q56" i="48081"/>
  <c r="N56" i="48081"/>
  <c r="M56" i="48081"/>
  <c r="D56" i="48081"/>
  <c r="C56" i="48081"/>
  <c r="G56" i="48081" s="1"/>
  <c r="F56" i="48081" s="1"/>
  <c r="AF55" i="48081"/>
  <c r="AG55" i="48081"/>
  <c r="AC55" i="48081"/>
  <c r="AE55" i="48081" s="1"/>
  <c r="Z55" i="48081"/>
  <c r="W55" i="48081"/>
  <c r="AB55" i="48081" s="1"/>
  <c r="V55" i="48081"/>
  <c r="U55" i="48081"/>
  <c r="R55" i="48081"/>
  <c r="Q55" i="48081"/>
  <c r="N55" i="48081"/>
  <c r="M55" i="48081"/>
  <c r="D55" i="48081"/>
  <c r="E55" i="48081"/>
  <c r="C55" i="48081"/>
  <c r="G55" i="48081" s="1"/>
  <c r="AF54" i="48081"/>
  <c r="AG54" i="48081"/>
  <c r="AE54" i="48081"/>
  <c r="AC54" i="48081"/>
  <c r="AH54" i="48081"/>
  <c r="AB54" i="48081"/>
  <c r="Z54" i="48081"/>
  <c r="W54" i="48081"/>
  <c r="V54" i="48081"/>
  <c r="U54" i="48081"/>
  <c r="R54" i="48081"/>
  <c r="Q54" i="48081"/>
  <c r="N54" i="48081"/>
  <c r="M54" i="48081"/>
  <c r="D54" i="48081"/>
  <c r="C54" i="48081"/>
  <c r="H54" i="48081" s="1"/>
  <c r="AF53" i="48081"/>
  <c r="AG53" i="48081"/>
  <c r="AC53" i="48081"/>
  <c r="AE53" i="48081" s="1"/>
  <c r="Z53" i="48081"/>
  <c r="W53" i="48081"/>
  <c r="AB53" i="48081" s="1"/>
  <c r="V53" i="48081"/>
  <c r="U53" i="48081"/>
  <c r="R53" i="48081"/>
  <c r="Q53" i="48081"/>
  <c r="N53" i="48081"/>
  <c r="M53" i="48081"/>
  <c r="D53" i="48081"/>
  <c r="H53" i="48081" s="1"/>
  <c r="C53" i="48081"/>
  <c r="G53" i="48081" s="1"/>
  <c r="AF52" i="48081"/>
  <c r="AG52" i="48081"/>
  <c r="AC52" i="48081"/>
  <c r="AE52" i="48081" s="1"/>
  <c r="AH52" i="48081"/>
  <c r="AB52" i="48081"/>
  <c r="Z52" i="48081"/>
  <c r="W52" i="48081"/>
  <c r="V52" i="48081"/>
  <c r="U52" i="48081"/>
  <c r="R52" i="48081"/>
  <c r="Q52" i="48081"/>
  <c r="N52" i="48081"/>
  <c r="M52" i="48081"/>
  <c r="D52" i="48081"/>
  <c r="C52" i="48081"/>
  <c r="G52" i="48081" s="1"/>
  <c r="F52" i="48081" s="1"/>
  <c r="AF51" i="48081"/>
  <c r="AG51" i="48081"/>
  <c r="AE51" i="48081"/>
  <c r="AC51" i="48081"/>
  <c r="AH51" i="48081"/>
  <c r="AB51" i="48081"/>
  <c r="Z51" i="48081"/>
  <c r="W51" i="48081"/>
  <c r="V51" i="48081"/>
  <c r="U51" i="48081"/>
  <c r="R51" i="48081"/>
  <c r="Q51" i="48081"/>
  <c r="N51" i="48081"/>
  <c r="M51" i="48081"/>
  <c r="D51" i="48081"/>
  <c r="C51" i="48081"/>
  <c r="G51" i="48081" s="1"/>
  <c r="AF50" i="48081"/>
  <c r="AG50" i="48081" s="1"/>
  <c r="AC50" i="48081"/>
  <c r="AE50" i="48081" s="1"/>
  <c r="AH50" i="48081"/>
  <c r="Z50" i="48081"/>
  <c r="W50" i="48081"/>
  <c r="AB50" i="48081" s="1"/>
  <c r="V50" i="48081"/>
  <c r="U50" i="48081"/>
  <c r="R50" i="48081"/>
  <c r="Q50" i="48081"/>
  <c r="N50" i="48081"/>
  <c r="M50" i="48081"/>
  <c r="D50" i="48081"/>
  <c r="E50" i="48081"/>
  <c r="C50" i="48081"/>
  <c r="G50" i="48081" s="1"/>
  <c r="F50" i="48081" s="1"/>
  <c r="AF49" i="48081"/>
  <c r="AD60" i="48081"/>
  <c r="AC49" i="48081"/>
  <c r="Z49" i="48081"/>
  <c r="Z60" i="48081"/>
  <c r="W49" i="48081"/>
  <c r="W60" i="48081" s="1"/>
  <c r="V49" i="48081"/>
  <c r="U49" i="48081"/>
  <c r="R49" i="48081"/>
  <c r="Q49" i="48081"/>
  <c r="N49" i="48081"/>
  <c r="M49" i="48081"/>
  <c r="D49" i="48081"/>
  <c r="C49" i="48081"/>
  <c r="G49" i="48081" s="1"/>
  <c r="C60" i="48081"/>
  <c r="G60" i="48081" s="1"/>
  <c r="S24" i="48081"/>
  <c r="O24" i="48081"/>
  <c r="N24" i="48081"/>
  <c r="K24" i="48081"/>
  <c r="X23" i="48081"/>
  <c r="T23" i="48081"/>
  <c r="U23" i="48081" s="1"/>
  <c r="R23" i="48081"/>
  <c r="P23" i="48081"/>
  <c r="P24" i="48081" s="1"/>
  <c r="M23" i="48081"/>
  <c r="D23" i="48081"/>
  <c r="F23" i="48081" s="1"/>
  <c r="J23" i="48081"/>
  <c r="C23" i="48081"/>
  <c r="G23" i="48081" s="1"/>
  <c r="U22" i="48081"/>
  <c r="Q22" i="48081"/>
  <c r="J22" i="48081"/>
  <c r="D22" i="48081"/>
  <c r="F22" i="48081" s="1"/>
  <c r="C22" i="48081"/>
  <c r="G22" i="48081" s="1"/>
  <c r="U21" i="48081"/>
  <c r="Q21" i="48081"/>
  <c r="M21" i="48081"/>
  <c r="J21" i="48081"/>
  <c r="D21" i="48081"/>
  <c r="F21" i="48081" s="1"/>
  <c r="C21" i="48081"/>
  <c r="G21" i="48081" s="1"/>
  <c r="U20" i="48081"/>
  <c r="Q20" i="48081"/>
  <c r="J20" i="48081"/>
  <c r="C20" i="48081"/>
  <c r="G20" i="48081" s="1"/>
  <c r="U19" i="48081"/>
  <c r="Q19" i="48081"/>
  <c r="M19" i="48081"/>
  <c r="J19" i="48081"/>
  <c r="D19" i="48081"/>
  <c r="E19" i="48081" s="1"/>
  <c r="C19" i="48081"/>
  <c r="G19" i="48081" s="1"/>
  <c r="U18" i="48081"/>
  <c r="Q18" i="48081"/>
  <c r="M18" i="48081"/>
  <c r="J18" i="48081"/>
  <c r="D18" i="48081"/>
  <c r="C18" i="48081"/>
  <c r="G18" i="48081" s="1"/>
  <c r="U17" i="48081"/>
  <c r="Q17" i="48081"/>
  <c r="M17" i="48081"/>
  <c r="J17" i="48081"/>
  <c r="D17" i="48081"/>
  <c r="C17" i="48081"/>
  <c r="G17" i="48081" s="1"/>
  <c r="AD59" i="48080"/>
  <c r="AD58" i="48080"/>
  <c r="AD57" i="48080"/>
  <c r="AD56" i="48080"/>
  <c r="AD55" i="48080"/>
  <c r="AD54" i="48080"/>
  <c r="AD53" i="48080"/>
  <c r="AD52" i="48080"/>
  <c r="AD51" i="48080"/>
  <c r="AD50" i="48080"/>
  <c r="AD49" i="48080"/>
  <c r="X59" i="48080"/>
  <c r="X58" i="48080"/>
  <c r="X57" i="48080"/>
  <c r="X56" i="48080"/>
  <c r="Y56" i="48080" s="1"/>
  <c r="X55" i="48080"/>
  <c r="X54" i="48080"/>
  <c r="X53" i="48080"/>
  <c r="X52" i="48080"/>
  <c r="X51" i="48080"/>
  <c r="X50" i="48080"/>
  <c r="AA50" i="48080" s="1"/>
  <c r="X49" i="48080"/>
  <c r="O24" i="48080"/>
  <c r="L23" i="48080"/>
  <c r="L22" i="48080"/>
  <c r="L20" i="48080"/>
  <c r="D20" i="48080"/>
  <c r="L19" i="48080"/>
  <c r="T60" i="48080"/>
  <c r="S60" i="48080"/>
  <c r="U60" i="48080" s="1"/>
  <c r="P60" i="48080"/>
  <c r="Q60" i="48080" s="1"/>
  <c r="O60" i="48080"/>
  <c r="L60" i="48080"/>
  <c r="M60" i="48080" s="1"/>
  <c r="K60" i="48080"/>
  <c r="AF59" i="48080"/>
  <c r="AE59" i="48080"/>
  <c r="AG59" i="48080"/>
  <c r="AC59" i="48080"/>
  <c r="AH59" i="48080"/>
  <c r="Z59" i="48080"/>
  <c r="AA59" i="48080" s="1"/>
  <c r="W59" i="48080"/>
  <c r="Y59" i="48080" s="1"/>
  <c r="AB59" i="48080"/>
  <c r="V59" i="48080"/>
  <c r="U59" i="48080"/>
  <c r="R59" i="48080"/>
  <c r="Q59" i="48080"/>
  <c r="N59" i="48080"/>
  <c r="M59" i="48080"/>
  <c r="D59" i="48080"/>
  <c r="C59" i="48080"/>
  <c r="E59" i="48080" s="1"/>
  <c r="AF58" i="48080"/>
  <c r="AE58" i="48080"/>
  <c r="AH58" i="48080"/>
  <c r="AC58" i="48080"/>
  <c r="Z58" i="48080"/>
  <c r="AA58" i="48080" s="1"/>
  <c r="W58" i="48080"/>
  <c r="Y58" i="48080" s="1"/>
  <c r="V58" i="48080"/>
  <c r="U58" i="48080"/>
  <c r="R58" i="48080"/>
  <c r="Q58" i="48080"/>
  <c r="N58" i="48080"/>
  <c r="M58" i="48080"/>
  <c r="D58" i="48080"/>
  <c r="E58" i="48080" s="1"/>
  <c r="C58" i="48080"/>
  <c r="G58" i="48080" s="1"/>
  <c r="AF57" i="48080"/>
  <c r="AE57" i="48080"/>
  <c r="AC57" i="48080"/>
  <c r="AH57" i="48080" s="1"/>
  <c r="Z57" i="48080"/>
  <c r="AA57" i="48080" s="1"/>
  <c r="W57" i="48080"/>
  <c r="Y57" i="48080" s="1"/>
  <c r="AB57" i="48080"/>
  <c r="V57" i="48080"/>
  <c r="U57" i="48080"/>
  <c r="R57" i="48080"/>
  <c r="Q57" i="48080"/>
  <c r="N57" i="48080"/>
  <c r="M57" i="48080"/>
  <c r="D57" i="48080"/>
  <c r="C57" i="48080"/>
  <c r="G57" i="48080" s="1"/>
  <c r="AF56" i="48080"/>
  <c r="AC56" i="48080"/>
  <c r="AE56" i="48080" s="1"/>
  <c r="AA56" i="48080"/>
  <c r="Z56" i="48080"/>
  <c r="W56" i="48080"/>
  <c r="AB56" i="48080"/>
  <c r="V56" i="48080"/>
  <c r="U56" i="48080"/>
  <c r="R56" i="48080"/>
  <c r="Q56" i="48080"/>
  <c r="N56" i="48080"/>
  <c r="M56" i="48080"/>
  <c r="D56" i="48080"/>
  <c r="C56" i="48080"/>
  <c r="E56" i="48080" s="1"/>
  <c r="AF55" i="48080"/>
  <c r="AC55" i="48080"/>
  <c r="AH55" i="48080" s="1"/>
  <c r="AA55" i="48080"/>
  <c r="Z55" i="48080"/>
  <c r="W55" i="48080"/>
  <c r="Y55" i="48080" s="1"/>
  <c r="V55" i="48080"/>
  <c r="U55" i="48080"/>
  <c r="R55" i="48080"/>
  <c r="Q55" i="48080"/>
  <c r="N55" i="48080"/>
  <c r="M55" i="48080"/>
  <c r="D55" i="48080"/>
  <c r="E55" i="48080"/>
  <c r="C55" i="48080"/>
  <c r="G55" i="48080" s="1"/>
  <c r="AF54" i="48080"/>
  <c r="AE54" i="48080"/>
  <c r="AH54" i="48080"/>
  <c r="AC54" i="48080"/>
  <c r="Z54" i="48080"/>
  <c r="AA54" i="48080" s="1"/>
  <c r="W54" i="48080"/>
  <c r="Y54" i="48080" s="1"/>
  <c r="V54" i="48080"/>
  <c r="U54" i="48080"/>
  <c r="R54" i="48080"/>
  <c r="Q54" i="48080"/>
  <c r="N54" i="48080"/>
  <c r="M54" i="48080"/>
  <c r="D54" i="48080"/>
  <c r="E54" i="48080" s="1"/>
  <c r="C54" i="48080"/>
  <c r="G54" i="48080" s="1"/>
  <c r="AF53" i="48080"/>
  <c r="AE53" i="48080"/>
  <c r="AC53" i="48080"/>
  <c r="AH53" i="48080" s="1"/>
  <c r="Z53" i="48080"/>
  <c r="AA53" i="48080" s="1"/>
  <c r="Y53" i="48080"/>
  <c r="W53" i="48080"/>
  <c r="AB53" i="48080"/>
  <c r="V53" i="48080"/>
  <c r="U53" i="48080"/>
  <c r="R53" i="48080"/>
  <c r="Q53" i="48080"/>
  <c r="N53" i="48080"/>
  <c r="M53" i="48080"/>
  <c r="D53" i="48080"/>
  <c r="C53" i="48080"/>
  <c r="G53" i="48080" s="1"/>
  <c r="AF52" i="48080"/>
  <c r="AC52" i="48080"/>
  <c r="AH52" i="48080" s="1"/>
  <c r="AA52" i="48080"/>
  <c r="Z52" i="48080"/>
  <c r="W52" i="48080"/>
  <c r="Y52" i="48080" s="1"/>
  <c r="V52" i="48080"/>
  <c r="U52" i="48080"/>
  <c r="R52" i="48080"/>
  <c r="Q52" i="48080"/>
  <c r="N52" i="48080"/>
  <c r="M52" i="48080"/>
  <c r="D52" i="48080"/>
  <c r="H52" i="48080" s="1"/>
  <c r="C52" i="48080"/>
  <c r="G52" i="48080" s="1"/>
  <c r="AF51" i="48080"/>
  <c r="AC51" i="48080"/>
  <c r="AE51" i="48080" s="1"/>
  <c r="AA51" i="48080"/>
  <c r="Z51" i="48080"/>
  <c r="W51" i="48080"/>
  <c r="Y51" i="48080" s="1"/>
  <c r="AB51" i="48080"/>
  <c r="V51" i="48080"/>
  <c r="U51" i="48080"/>
  <c r="R51" i="48080"/>
  <c r="Q51" i="48080"/>
  <c r="N51" i="48080"/>
  <c r="M51" i="48080"/>
  <c r="D51" i="48080"/>
  <c r="E51" i="48080"/>
  <c r="C51" i="48080"/>
  <c r="G51" i="48080" s="1"/>
  <c r="AF50" i="48080"/>
  <c r="AE50" i="48080"/>
  <c r="AH50" i="48080"/>
  <c r="AC50" i="48080"/>
  <c r="Z50" i="48080"/>
  <c r="W50" i="48080"/>
  <c r="Y50" i="48080" s="1"/>
  <c r="V50" i="48080"/>
  <c r="U50" i="48080"/>
  <c r="R50" i="48080"/>
  <c r="Q50" i="48080"/>
  <c r="N50" i="48080"/>
  <c r="M50" i="48080"/>
  <c r="D50" i="48080"/>
  <c r="E50" i="48080" s="1"/>
  <c r="C50" i="48080"/>
  <c r="G50" i="48080" s="1"/>
  <c r="AF49" i="48080"/>
  <c r="AF60" i="48080"/>
  <c r="AE49" i="48080"/>
  <c r="AC49" i="48080"/>
  <c r="AH49" i="48080" s="1"/>
  <c r="AC60" i="48080"/>
  <c r="AA49" i="48080"/>
  <c r="Z49" i="48080"/>
  <c r="Z60" i="48080" s="1"/>
  <c r="W49" i="48080"/>
  <c r="W60" i="48080"/>
  <c r="V49" i="48080"/>
  <c r="V60" i="48080" s="1"/>
  <c r="U49" i="48080"/>
  <c r="R49" i="48080"/>
  <c r="R60" i="48080"/>
  <c r="Q49" i="48080"/>
  <c r="N49" i="48080"/>
  <c r="N60" i="48080"/>
  <c r="M49" i="48080"/>
  <c r="D49" i="48080"/>
  <c r="D60" i="48080" s="1"/>
  <c r="C49" i="48080"/>
  <c r="G49" i="48080" s="1"/>
  <c r="S24" i="48080"/>
  <c r="U24" i="48080" s="1"/>
  <c r="N24" i="48080"/>
  <c r="K24" i="48080"/>
  <c r="X23" i="48080"/>
  <c r="T23" i="48080"/>
  <c r="U23" i="48080" s="1"/>
  <c r="T24" i="48080"/>
  <c r="R23" i="48080"/>
  <c r="P23" i="48080"/>
  <c r="Q23" i="48080" s="1"/>
  <c r="P24" i="48080"/>
  <c r="D23" i="48080"/>
  <c r="J23" i="48080"/>
  <c r="C23" i="48080"/>
  <c r="G23" i="48080" s="1"/>
  <c r="U22" i="48080"/>
  <c r="Q22" i="48080"/>
  <c r="D22" i="48080"/>
  <c r="J22" i="48080"/>
  <c r="C22" i="48080"/>
  <c r="G22" i="48080" s="1"/>
  <c r="U21" i="48080"/>
  <c r="Q21" i="48080"/>
  <c r="M21" i="48080"/>
  <c r="J21" i="48080"/>
  <c r="D21" i="48080"/>
  <c r="C21" i="48080"/>
  <c r="G21" i="48080" s="1"/>
  <c r="U20" i="48080"/>
  <c r="Q20" i="48080"/>
  <c r="M20" i="48080"/>
  <c r="J20" i="48080"/>
  <c r="C20" i="48080"/>
  <c r="G20" i="48080" s="1"/>
  <c r="U19" i="48080"/>
  <c r="Q19" i="48080"/>
  <c r="M19" i="48080"/>
  <c r="J19" i="48080"/>
  <c r="C19" i="48080"/>
  <c r="G19" i="48080" s="1"/>
  <c r="U18" i="48080"/>
  <c r="Q18" i="48080"/>
  <c r="M18" i="48080"/>
  <c r="J18" i="48080"/>
  <c r="D18" i="48080"/>
  <c r="E18" i="48080"/>
  <c r="C18" i="48080"/>
  <c r="G18" i="48080" s="1"/>
  <c r="R18" i="48080"/>
  <c r="R24" i="48080"/>
  <c r="U17" i="48080"/>
  <c r="Q17" i="48080"/>
  <c r="M17" i="48080"/>
  <c r="J17" i="48080"/>
  <c r="D17" i="48080"/>
  <c r="C17" i="48080"/>
  <c r="G17" i="48080" s="1"/>
  <c r="AD59" i="48079"/>
  <c r="AD58" i="48079"/>
  <c r="AD57" i="48079"/>
  <c r="AD56" i="48079"/>
  <c r="AD55" i="48079"/>
  <c r="AD54" i="48079"/>
  <c r="AD53" i="48079"/>
  <c r="AD52" i="48079"/>
  <c r="AD51" i="48079"/>
  <c r="AD50" i="48079"/>
  <c r="AD49" i="48079"/>
  <c r="X59" i="48079"/>
  <c r="X58" i="48079"/>
  <c r="X57" i="48079"/>
  <c r="X56" i="48079"/>
  <c r="X55" i="48079"/>
  <c r="X54" i="48079"/>
  <c r="X53" i="48079"/>
  <c r="X52" i="48079"/>
  <c r="X51" i="48079"/>
  <c r="X50" i="48079"/>
  <c r="X49" i="48079"/>
  <c r="O23" i="48079"/>
  <c r="O22" i="48079"/>
  <c r="O20" i="48079"/>
  <c r="Q20" i="48079" s="1"/>
  <c r="O19" i="48079"/>
  <c r="L23" i="48079"/>
  <c r="L19" i="48079"/>
  <c r="L22" i="48079"/>
  <c r="L20" i="48079"/>
  <c r="M20" i="48079"/>
  <c r="T60" i="48079"/>
  <c r="U60" i="48079" s="1"/>
  <c r="S60" i="48079"/>
  <c r="P60" i="48079"/>
  <c r="O60" i="48079"/>
  <c r="L60" i="48079"/>
  <c r="M60" i="48079" s="1"/>
  <c r="K60" i="48079"/>
  <c r="AF59" i="48079"/>
  <c r="AG59" i="48079" s="1"/>
  <c r="AC59" i="48079"/>
  <c r="AE59" i="48079"/>
  <c r="Z59" i="48079"/>
  <c r="W59" i="48079"/>
  <c r="V59" i="48079"/>
  <c r="U59" i="48079"/>
  <c r="R59" i="48079"/>
  <c r="Q59" i="48079"/>
  <c r="N59" i="48079"/>
  <c r="M59" i="48079"/>
  <c r="D59" i="48079"/>
  <c r="E59" i="48079" s="1"/>
  <c r="C59" i="48079"/>
  <c r="H59" i="48079"/>
  <c r="AF58" i="48079"/>
  <c r="AG58" i="48079" s="1"/>
  <c r="AC58" i="48079"/>
  <c r="AH58" i="48079" s="1"/>
  <c r="Z58" i="48079"/>
  <c r="W58" i="48079"/>
  <c r="AB58" i="48079" s="1"/>
  <c r="V58" i="48079"/>
  <c r="U58" i="48079"/>
  <c r="R58" i="48079"/>
  <c r="Q58" i="48079"/>
  <c r="N58" i="48079"/>
  <c r="M58" i="48079"/>
  <c r="D58" i="48079"/>
  <c r="H58" i="48079" s="1"/>
  <c r="E58" i="48079"/>
  <c r="C58" i="48079"/>
  <c r="G58" i="48079"/>
  <c r="F58" i="48079"/>
  <c r="AF57" i="48079"/>
  <c r="AG57" i="48079" s="1"/>
  <c r="AC57" i="48079"/>
  <c r="AH57" i="48079"/>
  <c r="AB57" i="48079"/>
  <c r="Z57" i="48079"/>
  <c r="W57" i="48079"/>
  <c r="V57" i="48079"/>
  <c r="U57" i="48079"/>
  <c r="R57" i="48079"/>
  <c r="Q57" i="48079"/>
  <c r="N57" i="48079"/>
  <c r="M57" i="48079"/>
  <c r="D57" i="48079"/>
  <c r="C57" i="48079"/>
  <c r="G57" i="48079" s="1"/>
  <c r="AF56" i="48079"/>
  <c r="AC56" i="48079"/>
  <c r="Z56" i="48079"/>
  <c r="W56" i="48079"/>
  <c r="AB56" i="48079" s="1"/>
  <c r="V56" i="48079"/>
  <c r="U56" i="48079"/>
  <c r="R56" i="48079"/>
  <c r="Q56" i="48079"/>
  <c r="N56" i="48079"/>
  <c r="M56" i="48079"/>
  <c r="D56" i="48079"/>
  <c r="E56" i="48079" s="1"/>
  <c r="C56" i="48079"/>
  <c r="H56" i="48079" s="1"/>
  <c r="AF55" i="48079"/>
  <c r="AC55" i="48079"/>
  <c r="AE55" i="48079" s="1"/>
  <c r="Z55" i="48079"/>
  <c r="W55" i="48079"/>
  <c r="AB55" i="48079" s="1"/>
  <c r="V55" i="48079"/>
  <c r="U55" i="48079"/>
  <c r="R55" i="48079"/>
  <c r="Q55" i="48079"/>
  <c r="N55" i="48079"/>
  <c r="M55" i="48079"/>
  <c r="H55" i="48079"/>
  <c r="D55" i="48079"/>
  <c r="E55" i="48079" s="1"/>
  <c r="C55" i="48079"/>
  <c r="G55" i="48079" s="1"/>
  <c r="F55" i="48079" s="1"/>
  <c r="AF54" i="48079"/>
  <c r="AG54" i="48079" s="1"/>
  <c r="AC54" i="48079"/>
  <c r="AH54" i="48079" s="1"/>
  <c r="AB54" i="48079"/>
  <c r="Z54" i="48079"/>
  <c r="W54" i="48079"/>
  <c r="V54" i="48079"/>
  <c r="U54" i="48079"/>
  <c r="R54" i="48079"/>
  <c r="Q54" i="48079"/>
  <c r="N54" i="48079"/>
  <c r="M54" i="48079"/>
  <c r="D54" i="48079"/>
  <c r="E54" i="48079"/>
  <c r="C54" i="48079"/>
  <c r="AF53" i="48079"/>
  <c r="AG53" i="48079" s="1"/>
  <c r="AE53" i="48079"/>
  <c r="AC53" i="48079"/>
  <c r="AH53" i="48079"/>
  <c r="Z53" i="48079"/>
  <c r="W53" i="48079"/>
  <c r="AB53" i="48079" s="1"/>
  <c r="V53" i="48079"/>
  <c r="U53" i="48079"/>
  <c r="R53" i="48079"/>
  <c r="Q53" i="48079"/>
  <c r="N53" i="48079"/>
  <c r="M53" i="48079"/>
  <c r="H53" i="48079"/>
  <c r="D53" i="48079"/>
  <c r="E53" i="48079"/>
  <c r="C53" i="48079"/>
  <c r="G53" i="48079" s="1"/>
  <c r="AF52" i="48079"/>
  <c r="AC52" i="48079"/>
  <c r="AC60" i="48079"/>
  <c r="Z52" i="48079"/>
  <c r="W52" i="48079"/>
  <c r="V52" i="48079"/>
  <c r="U52" i="48079"/>
  <c r="R52" i="48079"/>
  <c r="Q52" i="48079"/>
  <c r="N52" i="48079"/>
  <c r="M52" i="48079"/>
  <c r="D52" i="48079"/>
  <c r="E52" i="48079"/>
  <c r="C52" i="48079"/>
  <c r="AF51" i="48079"/>
  <c r="AC51" i="48079"/>
  <c r="AH51" i="48079" s="1"/>
  <c r="Z51" i="48079"/>
  <c r="W51" i="48079"/>
  <c r="AB51" i="48079" s="1"/>
  <c r="V51" i="48079"/>
  <c r="U51" i="48079"/>
  <c r="R51" i="48079"/>
  <c r="Q51" i="48079"/>
  <c r="N51" i="48079"/>
  <c r="M51" i="48079"/>
  <c r="D51" i="48079"/>
  <c r="E51" i="48079" s="1"/>
  <c r="C51" i="48079"/>
  <c r="G51" i="48079" s="1"/>
  <c r="F51" i="48079" s="1"/>
  <c r="AF50" i="48079"/>
  <c r="AG50" i="48079" s="1"/>
  <c r="AC50" i="48079"/>
  <c r="AH50" i="48079" s="1"/>
  <c r="Z50" i="48079"/>
  <c r="W50" i="48079"/>
  <c r="AB50" i="48079"/>
  <c r="V50" i="48079"/>
  <c r="U50" i="48079"/>
  <c r="R50" i="48079"/>
  <c r="Q50" i="48079"/>
  <c r="N50" i="48079"/>
  <c r="M50" i="48079"/>
  <c r="D50" i="48079"/>
  <c r="E50" i="48079"/>
  <c r="C50" i="48079"/>
  <c r="AF49" i="48079"/>
  <c r="AC49" i="48079"/>
  <c r="Z49" i="48079"/>
  <c r="W49" i="48079"/>
  <c r="V49" i="48079"/>
  <c r="V60" i="48079" s="1"/>
  <c r="U49" i="48079"/>
  <c r="R49" i="48079"/>
  <c r="Q49" i="48079"/>
  <c r="N49" i="48079"/>
  <c r="N60" i="48079" s="1"/>
  <c r="M49" i="48079"/>
  <c r="D49" i="48079"/>
  <c r="C49" i="48079"/>
  <c r="S24" i="48079"/>
  <c r="N24" i="48079"/>
  <c r="K24" i="48079"/>
  <c r="X23" i="48079"/>
  <c r="T23" i="48079"/>
  <c r="U23" i="48079"/>
  <c r="R23" i="48079"/>
  <c r="Q23" i="48079"/>
  <c r="P23" i="48079"/>
  <c r="P24" i="48079"/>
  <c r="M23" i="48079"/>
  <c r="D23" i="48079"/>
  <c r="F23" i="48079" s="1"/>
  <c r="J23" i="48079"/>
  <c r="C23" i="48079"/>
  <c r="G23" i="48079"/>
  <c r="U22" i="48079"/>
  <c r="Q22" i="48079"/>
  <c r="M22" i="48079"/>
  <c r="J22" i="48079"/>
  <c r="D22" i="48079"/>
  <c r="C22" i="48079"/>
  <c r="G22" i="48079"/>
  <c r="F22" i="48079" s="1"/>
  <c r="U21" i="48079"/>
  <c r="Q21" i="48079"/>
  <c r="M21" i="48079"/>
  <c r="J21" i="48079"/>
  <c r="D21" i="48079"/>
  <c r="F21" i="48079"/>
  <c r="C21" i="48079"/>
  <c r="G21" i="48079" s="1"/>
  <c r="U20" i="48079"/>
  <c r="J20" i="48079"/>
  <c r="D20" i="48079"/>
  <c r="H20" i="48079"/>
  <c r="C20" i="48079"/>
  <c r="G20" i="48079"/>
  <c r="U19" i="48079"/>
  <c r="J19" i="48079"/>
  <c r="C19" i="48079"/>
  <c r="G19" i="48079" s="1"/>
  <c r="U18" i="48079"/>
  <c r="Q18" i="48079"/>
  <c r="M18" i="48079"/>
  <c r="J18" i="48079"/>
  <c r="D18" i="48079"/>
  <c r="C18" i="48079"/>
  <c r="R18" i="48079" s="1"/>
  <c r="R24" i="48079" s="1"/>
  <c r="U17" i="48079"/>
  <c r="Q17" i="48079"/>
  <c r="M17" i="48079"/>
  <c r="J17" i="48079"/>
  <c r="D17" i="48079"/>
  <c r="C17" i="48079"/>
  <c r="G17" i="48079" s="1"/>
  <c r="D50" i="48078"/>
  <c r="D51" i="48078"/>
  <c r="D52" i="48078"/>
  <c r="D53" i="48078"/>
  <c r="D54" i="48078"/>
  <c r="D55" i="48078"/>
  <c r="D56" i="48078"/>
  <c r="D57" i="48078"/>
  <c r="D58" i="48078"/>
  <c r="E58" i="48078" s="1"/>
  <c r="D59" i="48078"/>
  <c r="D49" i="48078"/>
  <c r="C50" i="48078"/>
  <c r="H50" i="48078"/>
  <c r="C51" i="48078"/>
  <c r="C52" i="48078"/>
  <c r="C53" i="48078"/>
  <c r="C54" i="48078"/>
  <c r="H54" i="48078" s="1"/>
  <c r="C55" i="48078"/>
  <c r="C56" i="48078"/>
  <c r="C57" i="48078"/>
  <c r="G57" i="48078" s="1"/>
  <c r="C58" i="48078"/>
  <c r="C59" i="48078"/>
  <c r="H59" i="48078" s="1"/>
  <c r="G59" i="48078"/>
  <c r="C49" i="48078"/>
  <c r="L60" i="48078"/>
  <c r="K60" i="48078"/>
  <c r="N59" i="48078"/>
  <c r="M59" i="48078"/>
  <c r="N58" i="48078"/>
  <c r="M58" i="48078"/>
  <c r="N57" i="48078"/>
  <c r="M57" i="48078"/>
  <c r="N56" i="48078"/>
  <c r="M56" i="48078"/>
  <c r="N55" i="48078"/>
  <c r="M55" i="48078"/>
  <c r="N54" i="48078"/>
  <c r="M54" i="48078"/>
  <c r="N53" i="48078"/>
  <c r="M53" i="48078"/>
  <c r="N52" i="48078"/>
  <c r="M52" i="48078"/>
  <c r="N51" i="48078"/>
  <c r="M51" i="48078"/>
  <c r="N50" i="48078"/>
  <c r="M50" i="48078"/>
  <c r="N49" i="48078"/>
  <c r="M49" i="48078"/>
  <c r="T23" i="48078"/>
  <c r="U23" i="48078" s="1"/>
  <c r="X23" i="48078"/>
  <c r="D18" i="48078"/>
  <c r="D19" i="48078"/>
  <c r="D20" i="48078"/>
  <c r="D21" i="48078"/>
  <c r="D22" i="48078"/>
  <c r="D17" i="48078"/>
  <c r="Q18" i="48078"/>
  <c r="Q20" i="48078"/>
  <c r="Q21" i="48078"/>
  <c r="Q17" i="48078"/>
  <c r="P23" i="48078"/>
  <c r="Q23" i="48078" s="1"/>
  <c r="P24" i="48078"/>
  <c r="K24" i="48078"/>
  <c r="M18" i="48078"/>
  <c r="M19" i="48078"/>
  <c r="M20" i="48078"/>
  <c r="M21" i="48078"/>
  <c r="M22" i="48078"/>
  <c r="M17" i="48078"/>
  <c r="L23" i="48078"/>
  <c r="L24" i="48078" s="1"/>
  <c r="M24" i="48078" s="1"/>
  <c r="D23" i="48078"/>
  <c r="C23" i="48078"/>
  <c r="C22" i="48078"/>
  <c r="C21" i="48078"/>
  <c r="C20" i="48078"/>
  <c r="G20" i="48078" s="1"/>
  <c r="C19" i="48078"/>
  <c r="G19" i="48078" s="1"/>
  <c r="F19" i="48078" s="1"/>
  <c r="C18" i="48078"/>
  <c r="R18" i="48078"/>
  <c r="R24" i="48078" s="1"/>
  <c r="C17" i="48078"/>
  <c r="T60" i="48078"/>
  <c r="U60" i="48078" s="1"/>
  <c r="S60" i="48078"/>
  <c r="P60" i="48078"/>
  <c r="Q60" i="48078" s="1"/>
  <c r="O60" i="48078"/>
  <c r="AF59" i="48078"/>
  <c r="AD59" i="48078"/>
  <c r="AC59" i="48078"/>
  <c r="AH59" i="48078" s="1"/>
  <c r="Z59" i="48078"/>
  <c r="X59" i="48078"/>
  <c r="W59" i="48078"/>
  <c r="V59" i="48078"/>
  <c r="U59" i="48078"/>
  <c r="R59" i="48078"/>
  <c r="Q59" i="48078"/>
  <c r="E59" i="48078"/>
  <c r="AF58" i="48078"/>
  <c r="AD58" i="48078"/>
  <c r="AC58" i="48078"/>
  <c r="Z58" i="48078"/>
  <c r="X58" i="48078"/>
  <c r="W58" i="48078"/>
  <c r="V58" i="48078"/>
  <c r="U58" i="48078"/>
  <c r="R58" i="48078"/>
  <c r="Q58" i="48078"/>
  <c r="AH57" i="48078"/>
  <c r="AF57" i="48078"/>
  <c r="AD57" i="48078"/>
  <c r="AC57" i="48078"/>
  <c r="Z57" i="48078"/>
  <c r="X57" i="48078"/>
  <c r="W57" i="48078"/>
  <c r="V57" i="48078"/>
  <c r="U57" i="48078"/>
  <c r="R57" i="48078"/>
  <c r="Q57" i="48078"/>
  <c r="AF56" i="48078"/>
  <c r="AD56" i="48078"/>
  <c r="AH56" i="48078" s="1"/>
  <c r="AC56" i="48078"/>
  <c r="Z56" i="48078"/>
  <c r="X56" i="48078"/>
  <c r="W56" i="48078"/>
  <c r="V56" i="48078"/>
  <c r="U56" i="48078"/>
  <c r="R56" i="48078"/>
  <c r="Q56" i="48078"/>
  <c r="AF55" i="48078"/>
  <c r="AD55" i="48078"/>
  <c r="AC55" i="48078"/>
  <c r="AH55" i="48078" s="1"/>
  <c r="Z55" i="48078"/>
  <c r="X55" i="48078"/>
  <c r="AA55" i="48078" s="1"/>
  <c r="W55" i="48078"/>
  <c r="AB55" i="48078" s="1"/>
  <c r="V55" i="48078"/>
  <c r="U55" i="48078"/>
  <c r="R55" i="48078"/>
  <c r="Q55" i="48078"/>
  <c r="G55" i="48078"/>
  <c r="AF54" i="48078"/>
  <c r="AD54" i="48078"/>
  <c r="AC54" i="48078"/>
  <c r="AH54" i="48078"/>
  <c r="Z54" i="48078"/>
  <c r="X54" i="48078"/>
  <c r="W54" i="48078"/>
  <c r="V54" i="48078"/>
  <c r="U54" i="48078"/>
  <c r="R54" i="48078"/>
  <c r="Q54" i="48078"/>
  <c r="AH53" i="48078"/>
  <c r="AF53" i="48078"/>
  <c r="AD53" i="48078"/>
  <c r="AC53" i="48078"/>
  <c r="Z53" i="48078"/>
  <c r="X53" i="48078"/>
  <c r="W53" i="48078"/>
  <c r="V53" i="48078"/>
  <c r="U53" i="48078"/>
  <c r="R53" i="48078"/>
  <c r="Q53" i="48078"/>
  <c r="G53" i="48078"/>
  <c r="AF52" i="48078"/>
  <c r="AD52" i="48078"/>
  <c r="AE52" i="48078" s="1"/>
  <c r="AC52" i="48078"/>
  <c r="AH52" i="48078" s="1"/>
  <c r="Z52" i="48078"/>
  <c r="X52" i="48078"/>
  <c r="W52" i="48078"/>
  <c r="V52" i="48078"/>
  <c r="U52" i="48078"/>
  <c r="R52" i="48078"/>
  <c r="Q52" i="48078"/>
  <c r="E52" i="48078"/>
  <c r="AF51" i="48078"/>
  <c r="AD51" i="48078"/>
  <c r="AC51" i="48078"/>
  <c r="AH51" i="48078" s="1"/>
  <c r="Z51" i="48078"/>
  <c r="X51" i="48078"/>
  <c r="AA51" i="48078" s="1"/>
  <c r="W51" i="48078"/>
  <c r="AB51" i="48078" s="1"/>
  <c r="V51" i="48078"/>
  <c r="U51" i="48078"/>
  <c r="R51" i="48078"/>
  <c r="Q51" i="48078"/>
  <c r="G51" i="48078"/>
  <c r="AF50" i="48078"/>
  <c r="AD50" i="48078"/>
  <c r="AC50" i="48078"/>
  <c r="Z50" i="48078"/>
  <c r="X50" i="48078"/>
  <c r="W50" i="48078"/>
  <c r="V50" i="48078"/>
  <c r="U50" i="48078"/>
  <c r="R50" i="48078"/>
  <c r="Q50" i="48078"/>
  <c r="AF49" i="48078"/>
  <c r="AF60" i="48078" s="1"/>
  <c r="AD49" i="48078"/>
  <c r="AC49" i="48078"/>
  <c r="Z49" i="48078"/>
  <c r="X49" i="48078"/>
  <c r="W49" i="48078"/>
  <c r="V49" i="48078"/>
  <c r="U49" i="48078"/>
  <c r="R49" i="48078"/>
  <c r="Q49" i="48078"/>
  <c r="H49" i="48078"/>
  <c r="G49" i="48078"/>
  <c r="S24" i="48078"/>
  <c r="N24" i="48078"/>
  <c r="R23" i="48078"/>
  <c r="J23" i="48078"/>
  <c r="G23" i="48078"/>
  <c r="U22" i="48078"/>
  <c r="O22" i="48078"/>
  <c r="Q22" i="48078" s="1"/>
  <c r="J22" i="48078"/>
  <c r="U21" i="48078"/>
  <c r="J21" i="48078"/>
  <c r="U20" i="48078"/>
  <c r="O20" i="48078"/>
  <c r="J20" i="48078"/>
  <c r="U19" i="48078"/>
  <c r="O19" i="48078"/>
  <c r="Q19" i="48078" s="1"/>
  <c r="J19" i="48078"/>
  <c r="U18" i="48078"/>
  <c r="J18" i="48078"/>
  <c r="U17" i="48078"/>
  <c r="J17" i="48078"/>
  <c r="Q22" i="48076"/>
  <c r="Q20" i="48076"/>
  <c r="O24" i="48076"/>
  <c r="L23" i="48076"/>
  <c r="M23" i="48076" s="1"/>
  <c r="G18" i="48076"/>
  <c r="P60" i="48076"/>
  <c r="Q60" i="48076"/>
  <c r="O60" i="48076"/>
  <c r="L60" i="48076"/>
  <c r="K60" i="48076"/>
  <c r="AB59" i="48076"/>
  <c r="AC59" i="48076" s="1"/>
  <c r="Y59" i="48076"/>
  <c r="V59" i="48076"/>
  <c r="S59" i="48076"/>
  <c r="R59" i="48076"/>
  <c r="Q59" i="48076"/>
  <c r="N59" i="48076"/>
  <c r="M59" i="48076"/>
  <c r="D59" i="48076"/>
  <c r="C59" i="48076"/>
  <c r="AB58" i="48076"/>
  <c r="AC58" i="48076" s="1"/>
  <c r="Y58" i="48076"/>
  <c r="AD58" i="48076"/>
  <c r="V58" i="48076"/>
  <c r="W58" i="48076"/>
  <c r="S58" i="48076"/>
  <c r="U58" i="48076"/>
  <c r="X58" i="48076"/>
  <c r="R58" i="48076"/>
  <c r="Q58" i="48076"/>
  <c r="N58" i="48076"/>
  <c r="M58" i="48076"/>
  <c r="D58" i="48076"/>
  <c r="E58" i="48076" s="1"/>
  <c r="C58" i="48076"/>
  <c r="H58" i="48076" s="1"/>
  <c r="AB57" i="48076"/>
  <c r="AC57" i="48076" s="1"/>
  <c r="Y57" i="48076"/>
  <c r="V57" i="48076"/>
  <c r="W57" i="48076"/>
  <c r="S57" i="48076"/>
  <c r="X57" i="48076" s="1"/>
  <c r="R57" i="48076"/>
  <c r="Q57" i="48076"/>
  <c r="N57" i="48076"/>
  <c r="M57" i="48076"/>
  <c r="D57" i="48076"/>
  <c r="C57" i="48076"/>
  <c r="G57" i="48076" s="1"/>
  <c r="AB56" i="48076"/>
  <c r="AC56" i="48076" s="1"/>
  <c r="AA56" i="48076"/>
  <c r="Y56" i="48076"/>
  <c r="AD56" i="48076"/>
  <c r="V56" i="48076"/>
  <c r="S56" i="48076"/>
  <c r="U56" i="48076" s="1"/>
  <c r="R56" i="48076"/>
  <c r="Q56" i="48076"/>
  <c r="N56" i="48076"/>
  <c r="M56" i="48076"/>
  <c r="D56" i="48076"/>
  <c r="C56" i="48076"/>
  <c r="G56" i="48076" s="1"/>
  <c r="AB55" i="48076"/>
  <c r="Y55" i="48076"/>
  <c r="W55" i="48076"/>
  <c r="V55" i="48076"/>
  <c r="S55" i="48076"/>
  <c r="X55" i="48076" s="1"/>
  <c r="R55" i="48076"/>
  <c r="Q55" i="48076"/>
  <c r="N55" i="48076"/>
  <c r="M55" i="48076"/>
  <c r="D55" i="48076"/>
  <c r="C55" i="48076"/>
  <c r="AC54" i="48076"/>
  <c r="AB54" i="48076"/>
  <c r="Y54" i="48076"/>
  <c r="AD54" i="48076" s="1"/>
  <c r="V54" i="48076"/>
  <c r="S54" i="48076"/>
  <c r="U54" i="48076" s="1"/>
  <c r="R54" i="48076"/>
  <c r="Q54" i="48076"/>
  <c r="N54" i="48076"/>
  <c r="M54" i="48076"/>
  <c r="D54" i="48076"/>
  <c r="C54" i="48076"/>
  <c r="G54" i="48076"/>
  <c r="AB53" i="48076"/>
  <c r="Y53" i="48076"/>
  <c r="V53" i="48076"/>
  <c r="W53" i="48076" s="1"/>
  <c r="S53" i="48076"/>
  <c r="R53" i="48076"/>
  <c r="Q53" i="48076"/>
  <c r="N53" i="48076"/>
  <c r="M53" i="48076"/>
  <c r="D53" i="48076"/>
  <c r="C53" i="48076"/>
  <c r="G53" i="48076"/>
  <c r="F53" i="48076" s="1"/>
  <c r="AC52" i="48076"/>
  <c r="AB52" i="48076"/>
  <c r="Y52" i="48076"/>
  <c r="AA52" i="48076" s="1"/>
  <c r="V52" i="48076"/>
  <c r="S52" i="48076"/>
  <c r="R52" i="48076"/>
  <c r="Q52" i="48076"/>
  <c r="N52" i="48076"/>
  <c r="M52" i="48076"/>
  <c r="D52" i="48076"/>
  <c r="C52" i="48076"/>
  <c r="G52" i="48076" s="1"/>
  <c r="AB51" i="48076"/>
  <c r="AD51" i="48076"/>
  <c r="Y51" i="48076"/>
  <c r="AA51" i="48076" s="1"/>
  <c r="V51" i="48076"/>
  <c r="W51" i="48076" s="1"/>
  <c r="S51" i="48076"/>
  <c r="X51" i="48076" s="1"/>
  <c r="R51" i="48076"/>
  <c r="Q51" i="48076"/>
  <c r="N51" i="48076"/>
  <c r="M51" i="48076"/>
  <c r="D51" i="48076"/>
  <c r="C51" i="48076"/>
  <c r="G51" i="48076" s="1"/>
  <c r="AB50" i="48076"/>
  <c r="Y50" i="48076"/>
  <c r="AD50" i="48076"/>
  <c r="V50" i="48076"/>
  <c r="U50" i="48076"/>
  <c r="S50" i="48076"/>
  <c r="X50" i="48076" s="1"/>
  <c r="R50" i="48076"/>
  <c r="Q50" i="48076"/>
  <c r="N50" i="48076"/>
  <c r="M50" i="48076"/>
  <c r="D50" i="48076"/>
  <c r="E50" i="48076"/>
  <c r="C50" i="48076"/>
  <c r="AB49" i="48076"/>
  <c r="Z60" i="48076"/>
  <c r="Y49" i="48076"/>
  <c r="AA49" i="48076" s="1"/>
  <c r="V49" i="48076"/>
  <c r="S49" i="48076"/>
  <c r="R49" i="48076"/>
  <c r="Q49" i="48076"/>
  <c r="N49" i="48076"/>
  <c r="M49" i="48076"/>
  <c r="D49" i="48076"/>
  <c r="C49" i="48076"/>
  <c r="K24" i="48076"/>
  <c r="P23" i="48076"/>
  <c r="Q23" i="48076"/>
  <c r="N23" i="48076"/>
  <c r="J23" i="48076"/>
  <c r="D23" i="48076"/>
  <c r="E23" i="48076"/>
  <c r="C23" i="48076"/>
  <c r="G23" i="48076"/>
  <c r="D22" i="48076"/>
  <c r="J22" i="48076"/>
  <c r="C22" i="48076"/>
  <c r="G22" i="48076" s="1"/>
  <c r="Q21" i="48076"/>
  <c r="M21" i="48076"/>
  <c r="J21" i="48076"/>
  <c r="D21" i="48076"/>
  <c r="C21" i="48076"/>
  <c r="G21" i="48076"/>
  <c r="M20" i="48076"/>
  <c r="J20" i="48076"/>
  <c r="D20" i="48076"/>
  <c r="C20" i="48076"/>
  <c r="G20" i="48076"/>
  <c r="F20" i="48076" s="1"/>
  <c r="Q19" i="48076"/>
  <c r="D19" i="48076"/>
  <c r="J19" i="48076"/>
  <c r="C19" i="48076"/>
  <c r="G19" i="48076" s="1"/>
  <c r="M18" i="48076"/>
  <c r="J18" i="48076"/>
  <c r="D18" i="48076"/>
  <c r="C18" i="48076"/>
  <c r="N18" i="48076"/>
  <c r="N24" i="48076" s="1"/>
  <c r="Q17" i="48076"/>
  <c r="M17" i="48076"/>
  <c r="J17" i="48076"/>
  <c r="D17" i="48076"/>
  <c r="C17" i="48076"/>
  <c r="G17" i="48076"/>
  <c r="Z59" i="48075"/>
  <c r="AA59" i="48075"/>
  <c r="Z58" i="48075"/>
  <c r="Z57" i="48075"/>
  <c r="Z56" i="48075"/>
  <c r="AC56" i="48075"/>
  <c r="Z55" i="48075"/>
  <c r="Z54" i="48075"/>
  <c r="Z53" i="48075"/>
  <c r="Z52" i="48075"/>
  <c r="AC52" i="48075" s="1"/>
  <c r="Z51" i="48075"/>
  <c r="Z50" i="48075"/>
  <c r="Z49" i="48075"/>
  <c r="T59" i="48075"/>
  <c r="W59" i="48075" s="1"/>
  <c r="T58" i="48075"/>
  <c r="T57" i="48075"/>
  <c r="T56" i="48075"/>
  <c r="T55" i="48075"/>
  <c r="T54" i="48075"/>
  <c r="T53" i="48075"/>
  <c r="T52" i="48075"/>
  <c r="T51" i="48075"/>
  <c r="T50" i="48075"/>
  <c r="T49" i="48075"/>
  <c r="P23" i="48075"/>
  <c r="Q23" i="48075"/>
  <c r="N23" i="48042"/>
  <c r="N23" i="48074"/>
  <c r="N23" i="48075"/>
  <c r="L23" i="48075"/>
  <c r="D23" i="48075" s="1"/>
  <c r="L22" i="48075"/>
  <c r="D22" i="48075"/>
  <c r="L20" i="48075"/>
  <c r="L19" i="48075"/>
  <c r="M19" i="48075" s="1"/>
  <c r="G54" i="48075"/>
  <c r="P60" i="48075"/>
  <c r="O60" i="48075"/>
  <c r="Q60" i="48075" s="1"/>
  <c r="L60" i="48075"/>
  <c r="M60" i="48075"/>
  <c r="K60" i="48075"/>
  <c r="AB59" i="48075"/>
  <c r="Y59" i="48075"/>
  <c r="V59" i="48075"/>
  <c r="S59" i="48075"/>
  <c r="R59" i="48075"/>
  <c r="Q59" i="48075"/>
  <c r="N59" i="48075"/>
  <c r="M59" i="48075"/>
  <c r="D59" i="48075"/>
  <c r="E59" i="48075"/>
  <c r="C59" i="48075"/>
  <c r="G59" i="48075" s="1"/>
  <c r="AB58" i="48075"/>
  <c r="AC58" i="48075" s="1"/>
  <c r="Y58" i="48075"/>
  <c r="V58" i="48075"/>
  <c r="S58" i="48075"/>
  <c r="X58" i="48075" s="1"/>
  <c r="R58" i="48075"/>
  <c r="Q58" i="48075"/>
  <c r="N58" i="48075"/>
  <c r="M58" i="48075"/>
  <c r="D58" i="48075"/>
  <c r="E58" i="48075"/>
  <c r="C58" i="48075"/>
  <c r="G58" i="48075" s="1"/>
  <c r="AB57" i="48075"/>
  <c r="Y57" i="48075"/>
  <c r="AD57" i="48075" s="1"/>
  <c r="V57" i="48075"/>
  <c r="W57" i="48075"/>
  <c r="S57" i="48075"/>
  <c r="R57" i="48075"/>
  <c r="Q57" i="48075"/>
  <c r="N57" i="48075"/>
  <c r="M57" i="48075"/>
  <c r="D57" i="48075"/>
  <c r="E57" i="48075" s="1"/>
  <c r="C57" i="48075"/>
  <c r="G57" i="48075" s="1"/>
  <c r="AB56" i="48075"/>
  <c r="Y56" i="48075"/>
  <c r="V56" i="48075"/>
  <c r="S56" i="48075"/>
  <c r="X56" i="48075" s="1"/>
  <c r="R56" i="48075"/>
  <c r="Q56" i="48075"/>
  <c r="N56" i="48075"/>
  <c r="M56" i="48075"/>
  <c r="D56" i="48075"/>
  <c r="E56" i="48075" s="1"/>
  <c r="C56" i="48075"/>
  <c r="G56" i="48075" s="1"/>
  <c r="F56" i="48075" s="1"/>
  <c r="AB55" i="48075"/>
  <c r="AD55" i="48075"/>
  <c r="Y55" i="48075"/>
  <c r="V55" i="48075"/>
  <c r="W55" i="48075" s="1"/>
  <c r="S55" i="48075"/>
  <c r="R55" i="48075"/>
  <c r="Q55" i="48075"/>
  <c r="N55" i="48075"/>
  <c r="M55" i="48075"/>
  <c r="D55" i="48075"/>
  <c r="E55" i="48075"/>
  <c r="C55" i="48075"/>
  <c r="G55" i="48075"/>
  <c r="AB54" i="48075"/>
  <c r="Y54" i="48075"/>
  <c r="V54" i="48075"/>
  <c r="S54" i="48075"/>
  <c r="X54" i="48075" s="1"/>
  <c r="R54" i="48075"/>
  <c r="Q54" i="48075"/>
  <c r="N54" i="48075"/>
  <c r="M54" i="48075"/>
  <c r="D54" i="48075"/>
  <c r="E54" i="48075"/>
  <c r="C54" i="48075"/>
  <c r="AB53" i="48075"/>
  <c r="Y53" i="48075"/>
  <c r="AD53" i="48075"/>
  <c r="V53" i="48075"/>
  <c r="W53" i="48075"/>
  <c r="S53" i="48075"/>
  <c r="R53" i="48075"/>
  <c r="Q53" i="48075"/>
  <c r="N53" i="48075"/>
  <c r="M53" i="48075"/>
  <c r="D53" i="48075"/>
  <c r="E53" i="48075" s="1"/>
  <c r="C53" i="48075"/>
  <c r="G53" i="48075" s="1"/>
  <c r="AB52" i="48075"/>
  <c r="Y52" i="48075"/>
  <c r="V52" i="48075"/>
  <c r="S52" i="48075"/>
  <c r="X52" i="48075" s="1"/>
  <c r="R52" i="48075"/>
  <c r="Q52" i="48075"/>
  <c r="N52" i="48075"/>
  <c r="M52" i="48075"/>
  <c r="D52" i="48075"/>
  <c r="C52" i="48075"/>
  <c r="G52" i="48075"/>
  <c r="F52" i="48075" s="1"/>
  <c r="AB51" i="48075"/>
  <c r="Y51" i="48075"/>
  <c r="AD51" i="48075"/>
  <c r="V51" i="48075"/>
  <c r="S51" i="48075"/>
  <c r="S60" i="48075" s="1"/>
  <c r="R51" i="48075"/>
  <c r="Q51" i="48075"/>
  <c r="N51" i="48075"/>
  <c r="M51" i="48075"/>
  <c r="D51" i="48075"/>
  <c r="E51" i="48075"/>
  <c r="C51" i="48075"/>
  <c r="G51" i="48075" s="1"/>
  <c r="AB50" i="48075"/>
  <c r="Y50" i="48075"/>
  <c r="V50" i="48075"/>
  <c r="S50" i="48075"/>
  <c r="X50" i="48075"/>
  <c r="R50" i="48075"/>
  <c r="Q50" i="48075"/>
  <c r="N50" i="48075"/>
  <c r="M50" i="48075"/>
  <c r="D50" i="48075"/>
  <c r="E50" i="48075"/>
  <c r="C50" i="48075"/>
  <c r="G50" i="48075" s="1"/>
  <c r="AB49" i="48075"/>
  <c r="AB60" i="48075" s="1"/>
  <c r="AD49" i="48075"/>
  <c r="Y49" i="48075"/>
  <c r="V49" i="48075"/>
  <c r="S49" i="48075"/>
  <c r="R49" i="48075"/>
  <c r="Q49" i="48075"/>
  <c r="N49" i="48075"/>
  <c r="M49" i="48075"/>
  <c r="D49" i="48075"/>
  <c r="H49" i="48075" s="1"/>
  <c r="C49" i="48075"/>
  <c r="O24" i="48075"/>
  <c r="K24" i="48075"/>
  <c r="P24" i="48075"/>
  <c r="J23" i="48075"/>
  <c r="C23" i="48075"/>
  <c r="G23" i="48075" s="1"/>
  <c r="Q22" i="48075"/>
  <c r="M22" i="48075"/>
  <c r="J22" i="48075"/>
  <c r="C22" i="48075"/>
  <c r="G22" i="48075"/>
  <c r="Q21" i="48075"/>
  <c r="M21" i="48075"/>
  <c r="J21" i="48075"/>
  <c r="D21" i="48075"/>
  <c r="C21" i="48075"/>
  <c r="E21" i="48075" s="1"/>
  <c r="Q20" i="48075"/>
  <c r="J20" i="48075"/>
  <c r="C20" i="48075"/>
  <c r="G20" i="48075" s="1"/>
  <c r="Q19" i="48075"/>
  <c r="J19" i="48075"/>
  <c r="D19" i="48075"/>
  <c r="C19" i="48075"/>
  <c r="G19" i="48075" s="1"/>
  <c r="Q18" i="48075"/>
  <c r="M18" i="48075"/>
  <c r="J18" i="48075"/>
  <c r="D18" i="48075"/>
  <c r="C18" i="48075"/>
  <c r="G18" i="48075" s="1"/>
  <c r="Q17" i="48075"/>
  <c r="M17" i="48075"/>
  <c r="J17" i="48075"/>
  <c r="D17" i="48075"/>
  <c r="C17" i="48075"/>
  <c r="G17" i="48075"/>
  <c r="T59" i="48074"/>
  <c r="T58" i="48074"/>
  <c r="T57" i="48074"/>
  <c r="T56" i="48074"/>
  <c r="T55" i="48074"/>
  <c r="T54" i="48074"/>
  <c r="T53" i="48074"/>
  <c r="T52" i="48074"/>
  <c r="T51" i="48074"/>
  <c r="U51" i="48074"/>
  <c r="T50" i="48074"/>
  <c r="T49" i="48074"/>
  <c r="Z59" i="48074"/>
  <c r="Z58" i="48074"/>
  <c r="AA58" i="48074" s="1"/>
  <c r="Z57" i="48074"/>
  <c r="Z56" i="48074"/>
  <c r="Z55" i="48074"/>
  <c r="Z54" i="48074"/>
  <c r="Z53" i="48074"/>
  <c r="Z52" i="48074"/>
  <c r="Z51" i="48074"/>
  <c r="Z50" i="48074"/>
  <c r="Z49" i="48074"/>
  <c r="L23" i="48074"/>
  <c r="L22" i="48074"/>
  <c r="D22" i="48074"/>
  <c r="L20" i="48074"/>
  <c r="L19" i="48074"/>
  <c r="D19" i="48074" s="1"/>
  <c r="G23" i="48074"/>
  <c r="P60" i="48074"/>
  <c r="Q60" i="48074"/>
  <c r="O60" i="48074"/>
  <c r="L60" i="48074"/>
  <c r="M60" i="48074" s="1"/>
  <c r="K60" i="48074"/>
  <c r="AB59" i="48074"/>
  <c r="AC59" i="48074"/>
  <c r="Y59" i="48074"/>
  <c r="AD59" i="48074"/>
  <c r="V59" i="48074"/>
  <c r="W59" i="48074" s="1"/>
  <c r="S59" i="48074"/>
  <c r="R59" i="48074"/>
  <c r="Q59" i="48074"/>
  <c r="N59" i="48074"/>
  <c r="M59" i="48074"/>
  <c r="D59" i="48074"/>
  <c r="E59" i="48074"/>
  <c r="C59" i="48074"/>
  <c r="G59" i="48074"/>
  <c r="F59" i="48074" s="1"/>
  <c r="H59" i="48074"/>
  <c r="AB58" i="48074"/>
  <c r="Y58" i="48074"/>
  <c r="V58" i="48074"/>
  <c r="S58" i="48074"/>
  <c r="R58" i="48074"/>
  <c r="Q58" i="48074"/>
  <c r="N58" i="48074"/>
  <c r="M58" i="48074"/>
  <c r="D58" i="48074"/>
  <c r="C58" i="48074"/>
  <c r="AB57" i="48074"/>
  <c r="Y57" i="48074"/>
  <c r="V57" i="48074"/>
  <c r="S57" i="48074"/>
  <c r="R57" i="48074"/>
  <c r="Q57" i="48074"/>
  <c r="N57" i="48074"/>
  <c r="M57" i="48074"/>
  <c r="D57" i="48074"/>
  <c r="C57" i="48074"/>
  <c r="E57" i="48074" s="1"/>
  <c r="AB56" i="48074"/>
  <c r="AC56" i="48074" s="1"/>
  <c r="Y56" i="48074"/>
  <c r="W56" i="48074"/>
  <c r="V56" i="48074"/>
  <c r="S56" i="48074"/>
  <c r="U56" i="48074" s="1"/>
  <c r="R56" i="48074"/>
  <c r="Q56" i="48074"/>
  <c r="N56" i="48074"/>
  <c r="M56" i="48074"/>
  <c r="D56" i="48074"/>
  <c r="C56" i="48074"/>
  <c r="G56" i="48074" s="1"/>
  <c r="AB55" i="48074"/>
  <c r="Y55" i="48074"/>
  <c r="V55" i="48074"/>
  <c r="S55" i="48074"/>
  <c r="R55" i="48074"/>
  <c r="Q55" i="48074"/>
  <c r="N55" i="48074"/>
  <c r="M55" i="48074"/>
  <c r="D55" i="48074"/>
  <c r="C55" i="48074"/>
  <c r="AB54" i="48074"/>
  <c r="Y54" i="48074"/>
  <c r="AD54" i="48074" s="1"/>
  <c r="V54" i="48074"/>
  <c r="S54" i="48074"/>
  <c r="R54" i="48074"/>
  <c r="Q54" i="48074"/>
  <c r="N54" i="48074"/>
  <c r="M54" i="48074"/>
  <c r="D54" i="48074"/>
  <c r="C54" i="48074"/>
  <c r="AB53" i="48074"/>
  <c r="Y53" i="48074"/>
  <c r="AD53" i="48074"/>
  <c r="V53" i="48074"/>
  <c r="S53" i="48074"/>
  <c r="R53" i="48074"/>
  <c r="Q53" i="48074"/>
  <c r="N53" i="48074"/>
  <c r="M53" i="48074"/>
  <c r="D53" i="48074"/>
  <c r="C53" i="48074"/>
  <c r="G53" i="48074" s="1"/>
  <c r="AB52" i="48074"/>
  <c r="Y52" i="48074"/>
  <c r="V52" i="48074"/>
  <c r="S52" i="48074"/>
  <c r="R52" i="48074"/>
  <c r="Q52" i="48074"/>
  <c r="N52" i="48074"/>
  <c r="M52" i="48074"/>
  <c r="D52" i="48074"/>
  <c r="C52" i="48074"/>
  <c r="H52" i="48074" s="1"/>
  <c r="AB51" i="48074"/>
  <c r="Y51" i="48074"/>
  <c r="V51" i="48074"/>
  <c r="S51" i="48074"/>
  <c r="R51" i="48074"/>
  <c r="Q51" i="48074"/>
  <c r="N51" i="48074"/>
  <c r="M51" i="48074"/>
  <c r="D51" i="48074"/>
  <c r="E51" i="48074"/>
  <c r="C51" i="48074"/>
  <c r="G51" i="48074" s="1"/>
  <c r="AB50" i="48074"/>
  <c r="Y50" i="48074"/>
  <c r="W50" i="48074"/>
  <c r="V50" i="48074"/>
  <c r="S50" i="48074"/>
  <c r="U50" i="48074" s="1"/>
  <c r="X50" i="48074"/>
  <c r="R50" i="48074"/>
  <c r="Q50" i="48074"/>
  <c r="N50" i="48074"/>
  <c r="M50" i="48074"/>
  <c r="D50" i="48074"/>
  <c r="C50" i="48074"/>
  <c r="G50" i="48074"/>
  <c r="F50" i="48074" s="1"/>
  <c r="AB49" i="48074"/>
  <c r="AB60" i="48074" s="1"/>
  <c r="Y49" i="48074"/>
  <c r="V49" i="48074"/>
  <c r="S49" i="48074"/>
  <c r="U49" i="48074" s="1"/>
  <c r="R49" i="48074"/>
  <c r="R60" i="48074" s="1"/>
  <c r="Q49" i="48074"/>
  <c r="N49" i="48074"/>
  <c r="N60" i="48074" s="1"/>
  <c r="M49" i="48074"/>
  <c r="D49" i="48074"/>
  <c r="C49" i="48074"/>
  <c r="G49" i="48074"/>
  <c r="O24" i="48074"/>
  <c r="K24" i="48074"/>
  <c r="P23" i="48074"/>
  <c r="P24" i="48074" s="1"/>
  <c r="J23" i="48074"/>
  <c r="C23" i="48074"/>
  <c r="Q22" i="48074"/>
  <c r="M22" i="48074"/>
  <c r="J22" i="48074"/>
  <c r="C22" i="48074"/>
  <c r="G22" i="48074"/>
  <c r="Q21" i="48074"/>
  <c r="M21" i="48074"/>
  <c r="J21" i="48074"/>
  <c r="D21" i="48074"/>
  <c r="C21" i="48074"/>
  <c r="G21" i="48074"/>
  <c r="Q20" i="48074"/>
  <c r="J20" i="48074"/>
  <c r="C20" i="48074"/>
  <c r="Q19" i="48074"/>
  <c r="J19" i="48074"/>
  <c r="C19" i="48074"/>
  <c r="Q18" i="48074"/>
  <c r="M18" i="48074"/>
  <c r="J18" i="48074"/>
  <c r="D18" i="48074"/>
  <c r="C18" i="48074"/>
  <c r="G18" i="48074" s="1"/>
  <c r="Q17" i="48074"/>
  <c r="M17" i="48074"/>
  <c r="J17" i="48074"/>
  <c r="D17" i="48074"/>
  <c r="C17" i="48074"/>
  <c r="D59" i="48042"/>
  <c r="D58" i="48042"/>
  <c r="D57" i="48042"/>
  <c r="D56" i="48042"/>
  <c r="D55" i="48042"/>
  <c r="D54" i="48042"/>
  <c r="D53" i="48042"/>
  <c r="P60" i="48042"/>
  <c r="D52" i="48042"/>
  <c r="D51" i="48042"/>
  <c r="D50" i="48042"/>
  <c r="D49" i="48042"/>
  <c r="C59" i="48042"/>
  <c r="G59" i="48042"/>
  <c r="C58" i="48042"/>
  <c r="C57" i="48042"/>
  <c r="C56" i="48042"/>
  <c r="C55" i="48042"/>
  <c r="C54" i="48042"/>
  <c r="C53" i="48042"/>
  <c r="C52" i="48042"/>
  <c r="C51" i="48042"/>
  <c r="G51" i="48042" s="1"/>
  <c r="C50" i="48042"/>
  <c r="C49" i="48042"/>
  <c r="Q22" i="48042"/>
  <c r="Q21" i="48042"/>
  <c r="Q20" i="48042"/>
  <c r="Q19" i="48042"/>
  <c r="Q18" i="48042"/>
  <c r="Q17" i="48042"/>
  <c r="D23" i="48042"/>
  <c r="D21" i="48042"/>
  <c r="D18" i="48042"/>
  <c r="D17" i="48042"/>
  <c r="C23" i="48042"/>
  <c r="H23" i="48042" s="1"/>
  <c r="C22" i="48042"/>
  <c r="G22" i="48042" s="1"/>
  <c r="C21" i="48042"/>
  <c r="C20" i="48042"/>
  <c r="C19" i="48042"/>
  <c r="C18" i="48042"/>
  <c r="N18" i="48042"/>
  <c r="N24" i="48042" s="1"/>
  <c r="H18" i="48042"/>
  <c r="C17" i="48042"/>
  <c r="P23" i="48042"/>
  <c r="M23" i="48042"/>
  <c r="M21" i="48042"/>
  <c r="M18" i="48042"/>
  <c r="M17" i="48042"/>
  <c r="L22" i="48042"/>
  <c r="M22" i="48042"/>
  <c r="L20" i="48042"/>
  <c r="M20" i="48042" s="1"/>
  <c r="D20" i="48042"/>
  <c r="H20" i="48042" s="1"/>
  <c r="L19" i="48042"/>
  <c r="D19" i="48042" s="1"/>
  <c r="K24" i="48042"/>
  <c r="M59" i="48042"/>
  <c r="N59" i="48042"/>
  <c r="M58" i="48042"/>
  <c r="N58" i="48042"/>
  <c r="M57" i="48042"/>
  <c r="N57" i="48042"/>
  <c r="M56" i="48042"/>
  <c r="N56" i="48042"/>
  <c r="M55" i="48042"/>
  <c r="N55" i="48042"/>
  <c r="M54" i="48042"/>
  <c r="N54" i="48042"/>
  <c r="M53" i="48042"/>
  <c r="N53" i="48042"/>
  <c r="M52" i="48042"/>
  <c r="N52" i="48042"/>
  <c r="M51" i="48042"/>
  <c r="N51" i="48042"/>
  <c r="M50" i="48042"/>
  <c r="N50" i="48042"/>
  <c r="M49" i="48042"/>
  <c r="N49" i="48042"/>
  <c r="O24" i="48042"/>
  <c r="D59" i="48065"/>
  <c r="D58" i="48065"/>
  <c r="D57" i="48065"/>
  <c r="D56" i="48065"/>
  <c r="D55" i="48065"/>
  <c r="D54" i="48065"/>
  <c r="D53" i="48065"/>
  <c r="D52" i="48065"/>
  <c r="D51" i="48065"/>
  <c r="D50" i="48065"/>
  <c r="D49" i="48065"/>
  <c r="L17" i="48065"/>
  <c r="E15" i="48071"/>
  <c r="D15" i="48071"/>
  <c r="C15" i="48071"/>
  <c r="D33" i="48070"/>
  <c r="C33" i="48070"/>
  <c r="D30" i="48070"/>
  <c r="C30" i="48070"/>
  <c r="D26" i="48070"/>
  <c r="C26" i="48070"/>
  <c r="L23" i="48065" s="1"/>
  <c r="D24" i="48070"/>
  <c r="C24" i="48070"/>
  <c r="L22" i="48065"/>
  <c r="D22" i="48065" s="1"/>
  <c r="D21" i="48070"/>
  <c r="C21" i="48070"/>
  <c r="L21" i="48065"/>
  <c r="D21" i="48065" s="1"/>
  <c r="D19" i="48070"/>
  <c r="C19" i="48070"/>
  <c r="L20" i="48065"/>
  <c r="D12" i="48070"/>
  <c r="C12" i="48070"/>
  <c r="L19" i="48065"/>
  <c r="D19" i="48065"/>
  <c r="D7" i="48070"/>
  <c r="C7" i="48070"/>
  <c r="L18" i="48065"/>
  <c r="D4" i="48070"/>
  <c r="D34" i="48070" s="1"/>
  <c r="C4" i="48070"/>
  <c r="D59" i="48064"/>
  <c r="D58" i="48064"/>
  <c r="D57" i="48064"/>
  <c r="L57" i="48064" s="1"/>
  <c r="D56" i="48064"/>
  <c r="D55" i="48064"/>
  <c r="L55" i="48064" s="1"/>
  <c r="D54" i="48064"/>
  <c r="D53" i="48064"/>
  <c r="D52" i="48064"/>
  <c r="D51" i="48064"/>
  <c r="D50" i="48064"/>
  <c r="L50" i="48064" s="1"/>
  <c r="D49" i="48064"/>
  <c r="E15" i="48069"/>
  <c r="D15" i="48069"/>
  <c r="C15" i="48069"/>
  <c r="D33" i="48068"/>
  <c r="C33" i="48068"/>
  <c r="D30" i="48068"/>
  <c r="C30" i="48068"/>
  <c r="D26" i="48068"/>
  <c r="C26" i="48068"/>
  <c r="D24" i="48068"/>
  <c r="C24" i="48068"/>
  <c r="D22" i="48064" s="1"/>
  <c r="D21" i="48068"/>
  <c r="C21" i="48068"/>
  <c r="D21" i="48064"/>
  <c r="D19" i="48068"/>
  <c r="C19" i="48068"/>
  <c r="D20" i="48064" s="1"/>
  <c r="D12" i="48068"/>
  <c r="C12" i="48068"/>
  <c r="D19" i="48064"/>
  <c r="L19" i="48064" s="1"/>
  <c r="D7" i="48068"/>
  <c r="C7" i="48068"/>
  <c r="D18" i="48064" s="1"/>
  <c r="D4" i="48068"/>
  <c r="D34" i="48068" s="1"/>
  <c r="C4" i="48068"/>
  <c r="D50" i="48063"/>
  <c r="L50" i="48063" s="1"/>
  <c r="D59" i="48063"/>
  <c r="D58" i="48063"/>
  <c r="D57" i="48063"/>
  <c r="L57" i="48063" s="1"/>
  <c r="D56" i="48063"/>
  <c r="L56" i="48063"/>
  <c r="D53" i="48063"/>
  <c r="D54" i="48063"/>
  <c r="D55" i="48063"/>
  <c r="D52" i="48063"/>
  <c r="L52" i="48063" s="1"/>
  <c r="D51" i="48063"/>
  <c r="D49" i="48063"/>
  <c r="D60" i="48063" s="1"/>
  <c r="E15" i="48067"/>
  <c r="D15" i="48067"/>
  <c r="C15" i="48067"/>
  <c r="D33" i="48066"/>
  <c r="C33" i="48066"/>
  <c r="D30" i="48066"/>
  <c r="C30" i="48066"/>
  <c r="D26" i="48066"/>
  <c r="C26" i="48066"/>
  <c r="D23" i="48063" s="1"/>
  <c r="L23" i="48063" s="1"/>
  <c r="D24" i="48066"/>
  <c r="C24" i="48066"/>
  <c r="D22" i="48063" s="1"/>
  <c r="D21" i="48066"/>
  <c r="C21" i="48066"/>
  <c r="D21" i="48063" s="1"/>
  <c r="L21" i="48063" s="1"/>
  <c r="D19" i="48066"/>
  <c r="C19" i="48066"/>
  <c r="D12" i="48066"/>
  <c r="C12" i="48066"/>
  <c r="D19" i="48063"/>
  <c r="D7" i="48066"/>
  <c r="C7" i="48066"/>
  <c r="D18" i="48063" s="1"/>
  <c r="D4" i="48066"/>
  <c r="C4" i="48066"/>
  <c r="D17" i="48063" s="1"/>
  <c r="D15" i="48059"/>
  <c r="E15" i="48059"/>
  <c r="C15" i="48059"/>
  <c r="G58" i="48042"/>
  <c r="F58" i="48042"/>
  <c r="V59" i="48065"/>
  <c r="V58" i="48065"/>
  <c r="V57" i="48065"/>
  <c r="V56" i="48065"/>
  <c r="V55" i="48065"/>
  <c r="V54" i="48065"/>
  <c r="V53" i="48065"/>
  <c r="V52" i="48065"/>
  <c r="V51" i="48065"/>
  <c r="V50" i="48065"/>
  <c r="V49" i="48065"/>
  <c r="V60" i="48065" s="1"/>
  <c r="P59" i="48065"/>
  <c r="P58" i="48065"/>
  <c r="P57" i="48065"/>
  <c r="P56" i="48065"/>
  <c r="P55" i="48065"/>
  <c r="P54" i="48065"/>
  <c r="P53" i="48065"/>
  <c r="P52" i="48065"/>
  <c r="P51" i="48065"/>
  <c r="P50" i="48065"/>
  <c r="P49" i="48065"/>
  <c r="F25" i="48060"/>
  <c r="G25" i="48060"/>
  <c r="H25" i="48060"/>
  <c r="I25" i="48060"/>
  <c r="J25" i="48060"/>
  <c r="K25" i="48060"/>
  <c r="L25" i="48060"/>
  <c r="M25" i="48060"/>
  <c r="N25" i="48060"/>
  <c r="O25" i="48060"/>
  <c r="P25" i="48060"/>
  <c r="Q25" i="48060"/>
  <c r="F29" i="48060"/>
  <c r="G29" i="48060"/>
  <c r="H29" i="48060"/>
  <c r="I29" i="48060"/>
  <c r="J29" i="48060"/>
  <c r="K29" i="48060"/>
  <c r="L29" i="48060"/>
  <c r="M29" i="48060"/>
  <c r="N29" i="48060"/>
  <c r="O29" i="48060"/>
  <c r="P29" i="48060"/>
  <c r="Q29" i="48060"/>
  <c r="F32" i="48060"/>
  <c r="G32" i="48060"/>
  <c r="H32" i="48060"/>
  <c r="I32" i="48060"/>
  <c r="J32" i="48060"/>
  <c r="K32" i="48060"/>
  <c r="L32" i="48060"/>
  <c r="M32" i="48060"/>
  <c r="N32" i="48060"/>
  <c r="O32" i="48060"/>
  <c r="P32" i="48060"/>
  <c r="Q32" i="48060"/>
  <c r="F23" i="48060"/>
  <c r="G23" i="48060"/>
  <c r="H23" i="48060"/>
  <c r="I23" i="48060"/>
  <c r="J23" i="48060"/>
  <c r="K23" i="48060"/>
  <c r="L23" i="48060"/>
  <c r="M23" i="48060"/>
  <c r="N23" i="48060"/>
  <c r="O23" i="48060"/>
  <c r="P23" i="48060"/>
  <c r="Q23" i="48060"/>
  <c r="F20" i="48060"/>
  <c r="G20" i="48060"/>
  <c r="H20" i="48060"/>
  <c r="I20" i="48060"/>
  <c r="J20" i="48060"/>
  <c r="K20" i="48060"/>
  <c r="L20" i="48060"/>
  <c r="M20" i="48060"/>
  <c r="N20" i="48060"/>
  <c r="O20" i="48060"/>
  <c r="P20" i="48060"/>
  <c r="Q20" i="48060"/>
  <c r="S21" i="48065"/>
  <c r="F18" i="48060"/>
  <c r="G18" i="48060"/>
  <c r="H18" i="48060"/>
  <c r="I18" i="48060"/>
  <c r="S20" i="48063"/>
  <c r="J18" i="48060"/>
  <c r="K18" i="48060"/>
  <c r="L18" i="48060"/>
  <c r="M18" i="48060"/>
  <c r="N18" i="48060"/>
  <c r="O18" i="48060"/>
  <c r="P18" i="48060"/>
  <c r="Q18" i="48060"/>
  <c r="F11" i="48060"/>
  <c r="G11" i="48060"/>
  <c r="H11" i="48060"/>
  <c r="I11" i="48060"/>
  <c r="W19" i="48074" s="1"/>
  <c r="J11" i="48060"/>
  <c r="K11" i="48060"/>
  <c r="L11" i="48060"/>
  <c r="M11" i="48060"/>
  <c r="N11" i="48060"/>
  <c r="O11" i="48060"/>
  <c r="P11" i="48060"/>
  <c r="Q11" i="48060"/>
  <c r="F6" i="48060"/>
  <c r="G6" i="48060"/>
  <c r="H6" i="48060"/>
  <c r="I6" i="48060"/>
  <c r="J6" i="48060"/>
  <c r="K6" i="48060"/>
  <c r="L6" i="48060"/>
  <c r="M6" i="48060"/>
  <c r="N6" i="48060"/>
  <c r="O6" i="48060"/>
  <c r="S18" i="48065" s="1"/>
  <c r="P6" i="48060"/>
  <c r="Q6" i="48060"/>
  <c r="F3" i="48060"/>
  <c r="G3" i="48060"/>
  <c r="H3" i="48060"/>
  <c r="H33" i="48060" s="1"/>
  <c r="I3" i="48060"/>
  <c r="J3" i="48060"/>
  <c r="J33" i="48060" s="1"/>
  <c r="K3" i="48060"/>
  <c r="L3" i="48060"/>
  <c r="L33" i="48060"/>
  <c r="M3" i="48060"/>
  <c r="M33" i="48060" s="1"/>
  <c r="N3" i="48060"/>
  <c r="N33" i="48060" s="1"/>
  <c r="O3" i="48060"/>
  <c r="P3" i="48060"/>
  <c r="P33" i="48060" s="1"/>
  <c r="Q3" i="48060"/>
  <c r="Q33" i="48060"/>
  <c r="F3" i="48057"/>
  <c r="G3" i="48057"/>
  <c r="H3" i="48057"/>
  <c r="I3" i="48057"/>
  <c r="J3" i="48057"/>
  <c r="K3" i="48057"/>
  <c r="L3" i="48057"/>
  <c r="M3" i="48057"/>
  <c r="N3" i="48057"/>
  <c r="O3" i="48057"/>
  <c r="P3" i="48057"/>
  <c r="Q3" i="48057"/>
  <c r="F25" i="48057"/>
  <c r="G25" i="48057"/>
  <c r="H25" i="48057"/>
  <c r="I25" i="48057"/>
  <c r="J25" i="48057"/>
  <c r="K25" i="48057"/>
  <c r="L25" i="48057"/>
  <c r="S23" i="48075" s="1"/>
  <c r="U23" i="48075" s="1"/>
  <c r="M25" i="48057"/>
  <c r="N25" i="48057"/>
  <c r="O25" i="48057"/>
  <c r="P25" i="48057"/>
  <c r="Q25" i="48057"/>
  <c r="F29" i="48057"/>
  <c r="G29" i="48057"/>
  <c r="H29" i="48057"/>
  <c r="I29" i="48057"/>
  <c r="J29" i="48057"/>
  <c r="K29" i="48057"/>
  <c r="L29" i="48057"/>
  <c r="M29" i="48057"/>
  <c r="N29" i="48057"/>
  <c r="O29" i="48057"/>
  <c r="P29" i="48057"/>
  <c r="Q29" i="48057"/>
  <c r="F32" i="48057"/>
  <c r="G32" i="48057"/>
  <c r="H32" i="48057"/>
  <c r="I32" i="48057"/>
  <c r="J32" i="48057"/>
  <c r="K32" i="48057"/>
  <c r="L32" i="48057"/>
  <c r="M32" i="48057"/>
  <c r="N32" i="48057"/>
  <c r="O32" i="48057"/>
  <c r="P32" i="48057"/>
  <c r="Q32" i="48057"/>
  <c r="F23" i="48057"/>
  <c r="G23" i="48057"/>
  <c r="H23" i="48057"/>
  <c r="I23" i="48057"/>
  <c r="J23" i="48057"/>
  <c r="K23" i="48057"/>
  <c r="L23" i="48057"/>
  <c r="M23" i="48057"/>
  <c r="N23" i="48057"/>
  <c r="O23" i="48057"/>
  <c r="O22" i="48065" s="1"/>
  <c r="P23" i="48057"/>
  <c r="Q23" i="48057"/>
  <c r="F20" i="48057"/>
  <c r="G20" i="48057"/>
  <c r="H20" i="48057"/>
  <c r="I20" i="48057"/>
  <c r="J20" i="48057"/>
  <c r="K20" i="48057"/>
  <c r="L20" i="48057"/>
  <c r="M20" i="48057"/>
  <c r="N20" i="48057"/>
  <c r="O20" i="48057"/>
  <c r="P20" i="48057"/>
  <c r="Q20" i="48057"/>
  <c r="F18" i="48057"/>
  <c r="G18" i="48057"/>
  <c r="H18" i="48057"/>
  <c r="I18" i="48057"/>
  <c r="J18" i="48057"/>
  <c r="K18" i="48057"/>
  <c r="L18" i="48057"/>
  <c r="M18" i="48057"/>
  <c r="N18" i="48057"/>
  <c r="O18" i="48057"/>
  <c r="P18" i="48057"/>
  <c r="Q18" i="48057"/>
  <c r="F11" i="48057"/>
  <c r="G11" i="48057"/>
  <c r="H11" i="48057"/>
  <c r="I11" i="48057"/>
  <c r="J11" i="48057"/>
  <c r="K11" i="48057"/>
  <c r="L11" i="48057"/>
  <c r="M11" i="48057"/>
  <c r="N11" i="48057"/>
  <c r="O11" i="48057"/>
  <c r="P11" i="48057"/>
  <c r="Q11" i="48057"/>
  <c r="O19" i="48065"/>
  <c r="F6" i="48057"/>
  <c r="S18" i="48075" s="1"/>
  <c r="G6" i="48057"/>
  <c r="O18" i="48063" s="1"/>
  <c r="O24" i="48063" s="1"/>
  <c r="Q24" i="48063" s="1"/>
  <c r="H6" i="48057"/>
  <c r="I6" i="48057"/>
  <c r="J6" i="48057"/>
  <c r="K6" i="48057"/>
  <c r="L6" i="48057"/>
  <c r="M6" i="48057"/>
  <c r="N6" i="48057"/>
  <c r="O6" i="48057"/>
  <c r="P6" i="48057"/>
  <c r="Q6" i="48057"/>
  <c r="C49" i="48065"/>
  <c r="C50" i="48065"/>
  <c r="C51" i="48065"/>
  <c r="H51" i="48065" s="1"/>
  <c r="C52" i="48065"/>
  <c r="F52" i="48065" s="1"/>
  <c r="C53" i="48065"/>
  <c r="K53" i="48065" s="1"/>
  <c r="N53" i="48065" s="1"/>
  <c r="C54" i="48065"/>
  <c r="C55" i="48065"/>
  <c r="E55" i="48065" s="1"/>
  <c r="C56" i="48065"/>
  <c r="F56" i="48065" s="1"/>
  <c r="C57" i="48065"/>
  <c r="C58" i="48065"/>
  <c r="C59" i="48065"/>
  <c r="F59" i="48065" s="1"/>
  <c r="D7" i="48058"/>
  <c r="D12" i="48058"/>
  <c r="C19" i="48065" s="1"/>
  <c r="D19" i="48058"/>
  <c r="C20" i="48065" s="1"/>
  <c r="K20" i="48065" s="1"/>
  <c r="M20" i="48065" s="1"/>
  <c r="D21" i="48058"/>
  <c r="D24" i="48058"/>
  <c r="C22" i="48065"/>
  <c r="D26" i="48058"/>
  <c r="D30" i="48058"/>
  <c r="D33" i="48058"/>
  <c r="D4" i="48058"/>
  <c r="J17" i="48065"/>
  <c r="E3" i="48057"/>
  <c r="D3" i="48057"/>
  <c r="T17" i="48076"/>
  <c r="P17" i="48065"/>
  <c r="E3" i="48060"/>
  <c r="D3" i="48060"/>
  <c r="X17" i="48074"/>
  <c r="T17" i="48065"/>
  <c r="J18" i="48065"/>
  <c r="E6" i="48057"/>
  <c r="R18" i="48074"/>
  <c r="N18" i="48065"/>
  <c r="D6" i="48057"/>
  <c r="E6" i="48060"/>
  <c r="V18" i="48075"/>
  <c r="D6" i="48060"/>
  <c r="X18" i="48075"/>
  <c r="J19" i="48065"/>
  <c r="E11" i="48057"/>
  <c r="D11" i="48057"/>
  <c r="P19" i="48065"/>
  <c r="E11" i="48060"/>
  <c r="D11" i="48060"/>
  <c r="AB19" i="48078"/>
  <c r="J20" i="48065"/>
  <c r="E18" i="48057"/>
  <c r="D18" i="48057"/>
  <c r="P20" i="48065"/>
  <c r="E18" i="48060"/>
  <c r="V20" i="48074" s="1"/>
  <c r="D18" i="48060"/>
  <c r="AB20" i="48079"/>
  <c r="J21" i="48065"/>
  <c r="E20" i="48057"/>
  <c r="D20" i="48057"/>
  <c r="T21" i="48076"/>
  <c r="U21" i="48076"/>
  <c r="P21" i="48065"/>
  <c r="E20" i="48060"/>
  <c r="D20" i="48060"/>
  <c r="J22" i="48065"/>
  <c r="E23" i="48057"/>
  <c r="D23" i="48057"/>
  <c r="T22" i="48075" s="1"/>
  <c r="E23" i="48060"/>
  <c r="V22" i="48075"/>
  <c r="D23" i="48060"/>
  <c r="T22" i="48065"/>
  <c r="J23" i="48065"/>
  <c r="E25" i="48057"/>
  <c r="E29" i="48057"/>
  <c r="E32" i="48057"/>
  <c r="D25" i="48057"/>
  <c r="P23" i="48063" s="1"/>
  <c r="D29" i="48057"/>
  <c r="D32" i="48057"/>
  <c r="E25" i="48060"/>
  <c r="E29" i="48060"/>
  <c r="E32" i="48060"/>
  <c r="V23" i="48074"/>
  <c r="D25" i="48060"/>
  <c r="D29" i="48060"/>
  <c r="D32" i="48060"/>
  <c r="O49" i="48065"/>
  <c r="T49" i="48065" s="1"/>
  <c r="T60" i="48065" s="1"/>
  <c r="R49" i="48065"/>
  <c r="S49" i="48065"/>
  <c r="U49" i="48065"/>
  <c r="X49" i="48065"/>
  <c r="O50" i="48065"/>
  <c r="T50" i="48065"/>
  <c r="R50" i="48065"/>
  <c r="S50" i="48065"/>
  <c r="U50" i="48065"/>
  <c r="X50" i="48065"/>
  <c r="Y50" i="48065" s="1"/>
  <c r="O51" i="48065"/>
  <c r="Q51" i="48065" s="1"/>
  <c r="R51" i="48065"/>
  <c r="U51" i="48065"/>
  <c r="X51" i="48065"/>
  <c r="E52" i="48065"/>
  <c r="L52" i="48065"/>
  <c r="O52" i="48065"/>
  <c r="Q52" i="48065"/>
  <c r="R52" i="48065"/>
  <c r="S52" i="48065"/>
  <c r="U52" i="48065"/>
  <c r="X52" i="48065"/>
  <c r="O53" i="48065"/>
  <c r="R53" i="48065"/>
  <c r="U53" i="48065"/>
  <c r="X53" i="48065"/>
  <c r="Y53" i="48065" s="1"/>
  <c r="O54" i="48065"/>
  <c r="Q54" i="48065" s="1"/>
  <c r="R54" i="48065"/>
  <c r="S54" i="48065" s="1"/>
  <c r="U54" i="48065"/>
  <c r="X54" i="48065"/>
  <c r="Y54" i="48065"/>
  <c r="O55" i="48065"/>
  <c r="Q55" i="48065"/>
  <c r="R55" i="48065"/>
  <c r="S55" i="48065"/>
  <c r="T55" i="48065"/>
  <c r="U55" i="48065"/>
  <c r="X55" i="48065"/>
  <c r="O56" i="48065"/>
  <c r="R56" i="48065"/>
  <c r="R60" i="48065"/>
  <c r="U56" i="48065"/>
  <c r="X56" i="48065"/>
  <c r="Y56" i="48065"/>
  <c r="O57" i="48065"/>
  <c r="R57" i="48065"/>
  <c r="U57" i="48065"/>
  <c r="X57" i="48065"/>
  <c r="Y57" i="48065" s="1"/>
  <c r="H58" i="48065"/>
  <c r="K58" i="48065"/>
  <c r="O58" i="48065"/>
  <c r="Q58" i="48065" s="1"/>
  <c r="R58" i="48065"/>
  <c r="U58" i="48065"/>
  <c r="Z58" i="48065"/>
  <c r="X58" i="48065"/>
  <c r="L59" i="48065"/>
  <c r="O59" i="48065"/>
  <c r="Q59" i="48065"/>
  <c r="R59" i="48065"/>
  <c r="S59" i="48065"/>
  <c r="T59" i="48065"/>
  <c r="U59" i="48065"/>
  <c r="Z59" i="48065" s="1"/>
  <c r="X59" i="48065"/>
  <c r="Y59" i="48065" s="1"/>
  <c r="V59" i="48064"/>
  <c r="V58" i="48064"/>
  <c r="V57" i="48064"/>
  <c r="Y57" i="48064" s="1"/>
  <c r="V56" i="48064"/>
  <c r="V55" i="48064"/>
  <c r="V54" i="48064"/>
  <c r="V53" i="48064"/>
  <c r="V52" i="48064"/>
  <c r="V51" i="48064"/>
  <c r="V50" i="48064"/>
  <c r="V49" i="48064"/>
  <c r="P59" i="48064"/>
  <c r="P58" i="48064"/>
  <c r="P57" i="48064"/>
  <c r="Q57" i="48064" s="1"/>
  <c r="P56" i="48064"/>
  <c r="S56" i="48064" s="1"/>
  <c r="P55" i="48064"/>
  <c r="P54" i="48064"/>
  <c r="P53" i="48064"/>
  <c r="S53" i="48064" s="1"/>
  <c r="P52" i="48064"/>
  <c r="P51" i="48064"/>
  <c r="P50" i="48064"/>
  <c r="P49" i="48064"/>
  <c r="S20" i="48064"/>
  <c r="S17" i="48064"/>
  <c r="U17" i="48064" s="1"/>
  <c r="O23" i="48064"/>
  <c r="O22" i="48064"/>
  <c r="O19" i="48064"/>
  <c r="Q19" i="48064" s="1"/>
  <c r="O18" i="48064"/>
  <c r="O17" i="48064"/>
  <c r="C50" i="48064"/>
  <c r="C51" i="48064"/>
  <c r="K51" i="48064"/>
  <c r="N51" i="48064" s="1"/>
  <c r="C52" i="48064"/>
  <c r="C53" i="48064"/>
  <c r="K53" i="48064"/>
  <c r="C54" i="48064"/>
  <c r="G54" i="48064"/>
  <c r="F54" i="48064" s="1"/>
  <c r="C55" i="48064"/>
  <c r="C56" i="48064"/>
  <c r="G56" i="48064"/>
  <c r="F56" i="48064" s="1"/>
  <c r="E56" i="48064"/>
  <c r="C57" i="48064"/>
  <c r="H57" i="48064"/>
  <c r="C58" i="48064"/>
  <c r="K58" i="48064"/>
  <c r="C59" i="48064"/>
  <c r="K59" i="48064"/>
  <c r="N59" i="48064" s="1"/>
  <c r="C49" i="48064"/>
  <c r="C18" i="48064"/>
  <c r="C19" i="48064"/>
  <c r="C20" i="48064"/>
  <c r="G20" i="48064"/>
  <c r="C21" i="48064"/>
  <c r="H21" i="48064"/>
  <c r="C22" i="48064"/>
  <c r="J17" i="48064"/>
  <c r="N17" i="48064"/>
  <c r="P17" i="48064"/>
  <c r="T17" i="48064"/>
  <c r="E18" i="48064"/>
  <c r="J18" i="48064"/>
  <c r="N18" i="48064"/>
  <c r="R18" i="48064"/>
  <c r="T18" i="48064"/>
  <c r="T24" i="48064" s="1"/>
  <c r="J19" i="48064"/>
  <c r="N19" i="48064"/>
  <c r="P19" i="48064"/>
  <c r="T19" i="48064"/>
  <c r="J20" i="48064"/>
  <c r="K20" i="48064"/>
  <c r="P20" i="48064"/>
  <c r="R20" i="48064"/>
  <c r="T20" i="48064"/>
  <c r="J21" i="48064"/>
  <c r="N21" i="48064"/>
  <c r="P21" i="48064"/>
  <c r="R21" i="48064"/>
  <c r="J22" i="48064"/>
  <c r="P22" i="48064"/>
  <c r="Q22" i="48064"/>
  <c r="R22" i="48064"/>
  <c r="T22" i="48064"/>
  <c r="J23" i="48064"/>
  <c r="K49" i="48064"/>
  <c r="O49" i="48064"/>
  <c r="T49" i="48064"/>
  <c r="R49" i="48064"/>
  <c r="U49" i="48064"/>
  <c r="W49" i="48064" s="1"/>
  <c r="X49" i="48064"/>
  <c r="O50" i="48064"/>
  <c r="T50" i="48064" s="1"/>
  <c r="Q50" i="48064"/>
  <c r="R50" i="48064"/>
  <c r="U50" i="48064"/>
  <c r="X50" i="48064"/>
  <c r="O51" i="48064"/>
  <c r="R51" i="48064"/>
  <c r="U51" i="48064"/>
  <c r="Z51" i="48064" s="1"/>
  <c r="X51" i="48064"/>
  <c r="Y51" i="48064" s="1"/>
  <c r="K52" i="48064"/>
  <c r="N52" i="48064" s="1"/>
  <c r="L52" i="48064"/>
  <c r="M52" i="48064" s="1"/>
  <c r="O52" i="48064"/>
  <c r="R52" i="48064"/>
  <c r="S52" i="48064"/>
  <c r="U52" i="48064"/>
  <c r="Z52" i="48064"/>
  <c r="X52" i="48064"/>
  <c r="Y52" i="48064"/>
  <c r="L53" i="48064"/>
  <c r="O53" i="48064"/>
  <c r="R53" i="48064"/>
  <c r="U53" i="48064"/>
  <c r="W53" i="48064" s="1"/>
  <c r="X53" i="48064"/>
  <c r="O54" i="48064"/>
  <c r="R54" i="48064"/>
  <c r="S54" i="48064" s="1"/>
  <c r="U54" i="48064"/>
  <c r="W54" i="48064" s="1"/>
  <c r="X54" i="48064"/>
  <c r="Y54" i="48064" s="1"/>
  <c r="O55" i="48064"/>
  <c r="R55" i="48064"/>
  <c r="S55" i="48064"/>
  <c r="U55" i="48064"/>
  <c r="W55" i="48064" s="1"/>
  <c r="X55" i="48064"/>
  <c r="Y55" i="48064" s="1"/>
  <c r="H56" i="48064"/>
  <c r="K56" i="48064"/>
  <c r="M56" i="48064"/>
  <c r="L56" i="48064"/>
  <c r="O56" i="48064"/>
  <c r="R56" i="48064"/>
  <c r="U56" i="48064"/>
  <c r="W56" i="48064" s="1"/>
  <c r="X56" i="48064"/>
  <c r="O57" i="48064"/>
  <c r="T57" i="48064"/>
  <c r="R57" i="48064"/>
  <c r="U57" i="48064"/>
  <c r="X57" i="48064"/>
  <c r="O58" i="48064"/>
  <c r="T58" i="48064" s="1"/>
  <c r="R58" i="48064"/>
  <c r="U58" i="48064"/>
  <c r="X58" i="48064"/>
  <c r="Y58" i="48064" s="1"/>
  <c r="O59" i="48064"/>
  <c r="R59" i="48064"/>
  <c r="U59" i="48064"/>
  <c r="X59" i="48064"/>
  <c r="Y59" i="48064"/>
  <c r="C49" i="48063"/>
  <c r="H49" i="48063"/>
  <c r="C50" i="48063"/>
  <c r="H50" i="48063"/>
  <c r="C51" i="48063"/>
  <c r="C52" i="48063"/>
  <c r="G52" i="48063" s="1"/>
  <c r="F52" i="48063" s="1"/>
  <c r="C53" i="48063"/>
  <c r="C54" i="48063"/>
  <c r="G54" i="48063" s="1"/>
  <c r="F54" i="48063" s="1"/>
  <c r="C55" i="48063"/>
  <c r="C56" i="48063"/>
  <c r="G56" i="48063"/>
  <c r="C57" i="48063"/>
  <c r="C58" i="48063"/>
  <c r="H58" i="48063" s="1"/>
  <c r="C59" i="48063"/>
  <c r="K59" i="48063" s="1"/>
  <c r="F56" i="48063"/>
  <c r="V59" i="48063"/>
  <c r="V58" i="48063"/>
  <c r="W58" i="48063" s="1"/>
  <c r="V57" i="48063"/>
  <c r="W57" i="48063" s="1"/>
  <c r="V56" i="48063"/>
  <c r="V55" i="48063"/>
  <c r="V54" i="48063"/>
  <c r="W54" i="48063" s="1"/>
  <c r="V53" i="48063"/>
  <c r="V52" i="48063"/>
  <c r="V51" i="48063"/>
  <c r="Y51" i="48063" s="1"/>
  <c r="V50" i="48063"/>
  <c r="V49" i="48063"/>
  <c r="P59" i="48063"/>
  <c r="P58" i="48063"/>
  <c r="P57" i="48063"/>
  <c r="P56" i="48063"/>
  <c r="P55" i="48063"/>
  <c r="P54" i="48063"/>
  <c r="S54" i="48063" s="1"/>
  <c r="P53" i="48063"/>
  <c r="P52" i="48063"/>
  <c r="P51" i="48063"/>
  <c r="P50" i="48063"/>
  <c r="P49" i="48063"/>
  <c r="S21" i="48063"/>
  <c r="O23" i="48063"/>
  <c r="O22" i="48063"/>
  <c r="O21" i="48063"/>
  <c r="Q21" i="48063"/>
  <c r="O20" i="48063"/>
  <c r="O19" i="48063"/>
  <c r="O17" i="48063"/>
  <c r="C19" i="48063"/>
  <c r="G19" i="48063" s="1"/>
  <c r="F19" i="48063" s="1"/>
  <c r="C20" i="48063"/>
  <c r="K20" i="48063"/>
  <c r="C21" i="48063"/>
  <c r="G21" i="48063"/>
  <c r="F21" i="48063" s="1"/>
  <c r="C22" i="48063"/>
  <c r="G22" i="48063" s="1"/>
  <c r="C23" i="48063"/>
  <c r="J17" i="48063"/>
  <c r="N17" i="48063"/>
  <c r="P17" i="48063"/>
  <c r="T17" i="48063"/>
  <c r="T24" i="48063" s="1"/>
  <c r="J18" i="48063"/>
  <c r="N18" i="48063"/>
  <c r="R18" i="48063"/>
  <c r="T18" i="48063"/>
  <c r="J19" i="48063"/>
  <c r="P19" i="48063"/>
  <c r="R19" i="48063"/>
  <c r="T19" i="48063"/>
  <c r="J20" i="48063"/>
  <c r="P20" i="48063"/>
  <c r="R20" i="48063"/>
  <c r="T20" i="48063"/>
  <c r="J21" i="48063"/>
  <c r="N21" i="48063"/>
  <c r="P21" i="48063"/>
  <c r="R21" i="48063"/>
  <c r="J22" i="48063"/>
  <c r="P22" i="48063"/>
  <c r="Q22" i="48063" s="1"/>
  <c r="R22" i="48063"/>
  <c r="T22" i="48063"/>
  <c r="J23" i="48063"/>
  <c r="T23" i="48063"/>
  <c r="L49" i="48063"/>
  <c r="O49" i="48063"/>
  <c r="R49" i="48063"/>
  <c r="U49" i="48063"/>
  <c r="X49" i="48063"/>
  <c r="O50" i="48063"/>
  <c r="R50" i="48063"/>
  <c r="S50" i="48063" s="1"/>
  <c r="U50" i="48063"/>
  <c r="X50" i="48063"/>
  <c r="Y50" i="48063"/>
  <c r="O51" i="48063"/>
  <c r="T51" i="48063"/>
  <c r="R51" i="48063"/>
  <c r="S51" i="48063"/>
  <c r="U51" i="48063"/>
  <c r="X51" i="48063"/>
  <c r="K52" i="48063"/>
  <c r="N52" i="48063"/>
  <c r="O52" i="48063"/>
  <c r="T52" i="48063"/>
  <c r="R52" i="48063"/>
  <c r="U52" i="48063"/>
  <c r="Z52" i="48063" s="1"/>
  <c r="X52" i="48063"/>
  <c r="Y52" i="48063" s="1"/>
  <c r="O53" i="48063"/>
  <c r="R53" i="48063"/>
  <c r="U53" i="48063"/>
  <c r="X53" i="48063"/>
  <c r="H54" i="48063"/>
  <c r="L54" i="48063"/>
  <c r="O54" i="48063"/>
  <c r="T54" i="48063" s="1"/>
  <c r="R54" i="48063"/>
  <c r="U54" i="48063"/>
  <c r="Z54" i="48063"/>
  <c r="X54" i="48063"/>
  <c r="K55" i="48063"/>
  <c r="O55" i="48063"/>
  <c r="T55" i="48063"/>
  <c r="R55" i="48063"/>
  <c r="S55" i="48063"/>
  <c r="U55" i="48063"/>
  <c r="X55" i="48063"/>
  <c r="K56" i="48063"/>
  <c r="N56" i="48063" s="1"/>
  <c r="O56" i="48063"/>
  <c r="T56" i="48063" s="1"/>
  <c r="R56" i="48063"/>
  <c r="U56" i="48063"/>
  <c r="Z56" i="48063"/>
  <c r="X56" i="48063"/>
  <c r="O57" i="48063"/>
  <c r="R57" i="48063"/>
  <c r="U57" i="48063"/>
  <c r="X57" i="48063"/>
  <c r="L58" i="48063"/>
  <c r="O58" i="48063"/>
  <c r="T58" i="48063" s="1"/>
  <c r="R58" i="48063"/>
  <c r="U58" i="48063"/>
  <c r="X58" i="48063"/>
  <c r="Y58" i="48063" s="1"/>
  <c r="O59" i="48063"/>
  <c r="R59" i="48063"/>
  <c r="U59" i="48063"/>
  <c r="Z59" i="48063" s="1"/>
  <c r="X59" i="48063"/>
  <c r="Y59" i="48063" s="1"/>
  <c r="Y49" i="48042"/>
  <c r="AD49" i="48042" s="1"/>
  <c r="Z49" i="48042"/>
  <c r="Y50" i="48042"/>
  <c r="Z50" i="48042"/>
  <c r="Y51" i="48042"/>
  <c r="Z51" i="48042"/>
  <c r="Y52" i="48042"/>
  <c r="Z52" i="48042"/>
  <c r="AC52" i="48042" s="1"/>
  <c r="Y53" i="48042"/>
  <c r="Z53" i="48042"/>
  <c r="AA53" i="48042"/>
  <c r="Y54" i="48042"/>
  <c r="AD54" i="48042"/>
  <c r="Z54" i="48042"/>
  <c r="Y55" i="48042"/>
  <c r="Z55" i="48042"/>
  <c r="Y56" i="48042"/>
  <c r="Z56" i="48042"/>
  <c r="Y57" i="48042"/>
  <c r="Z57" i="48042"/>
  <c r="Y58" i="48042"/>
  <c r="Z58" i="48042"/>
  <c r="Y59" i="48042"/>
  <c r="AD59" i="48042"/>
  <c r="Z59" i="48042"/>
  <c r="AB49" i="48042"/>
  <c r="AB60" i="48042" s="1"/>
  <c r="AC60" i="48042" s="1"/>
  <c r="AB50" i="48042"/>
  <c r="AB51" i="48042"/>
  <c r="AB52" i="48042"/>
  <c r="AB53" i="48042"/>
  <c r="AB54" i="48042"/>
  <c r="AC54" i="48042" s="1"/>
  <c r="AB55" i="48042"/>
  <c r="AB56" i="48042"/>
  <c r="AB57" i="48042"/>
  <c r="AC57" i="48042" s="1"/>
  <c r="AB58" i="48042"/>
  <c r="AC58" i="48042" s="1"/>
  <c r="AB59" i="48042"/>
  <c r="S49" i="48042"/>
  <c r="T49" i="48042"/>
  <c r="S50" i="48042"/>
  <c r="T50" i="48042"/>
  <c r="S51" i="48042"/>
  <c r="T51" i="48042"/>
  <c r="U51" i="48042" s="1"/>
  <c r="S52" i="48042"/>
  <c r="T52" i="48042"/>
  <c r="W52" i="48042" s="1"/>
  <c r="S53" i="48042"/>
  <c r="T53" i="48042"/>
  <c r="S54" i="48042"/>
  <c r="T54" i="48042"/>
  <c r="S55" i="48042"/>
  <c r="X55" i="48042" s="1"/>
  <c r="T55" i="48042"/>
  <c r="S56" i="48042"/>
  <c r="X56" i="48042"/>
  <c r="T56" i="48042"/>
  <c r="S57" i="48042"/>
  <c r="T57" i="48042"/>
  <c r="S58" i="48042"/>
  <c r="X58" i="48042" s="1"/>
  <c r="T58" i="48042"/>
  <c r="S59" i="48042"/>
  <c r="T59" i="48042"/>
  <c r="W59" i="48042" s="1"/>
  <c r="V49" i="48042"/>
  <c r="V50" i="48042"/>
  <c r="V51" i="48042"/>
  <c r="V52" i="48042"/>
  <c r="V53" i="48042"/>
  <c r="V54" i="48042"/>
  <c r="V60" i="48042" s="1"/>
  <c r="V55" i="48042"/>
  <c r="V56" i="48042"/>
  <c r="W56" i="48042" s="1"/>
  <c r="V57" i="48042"/>
  <c r="V58" i="48042"/>
  <c r="V59" i="48042"/>
  <c r="R51" i="48042"/>
  <c r="G52" i="48042"/>
  <c r="F52" i="48042"/>
  <c r="G56" i="48042"/>
  <c r="G57" i="48042"/>
  <c r="D15" i="48062"/>
  <c r="E15" i="48062"/>
  <c r="F15" i="48062"/>
  <c r="G15" i="48062"/>
  <c r="H15" i="48062"/>
  <c r="I15" i="48062"/>
  <c r="J15" i="48062"/>
  <c r="K15" i="48062"/>
  <c r="L15" i="48062"/>
  <c r="M15" i="48062"/>
  <c r="N15" i="48062"/>
  <c r="O15" i="48062"/>
  <c r="P15" i="48062"/>
  <c r="Q15" i="48062"/>
  <c r="C15" i="48062"/>
  <c r="R2" i="48061"/>
  <c r="R3" i="48061"/>
  <c r="S3" i="48061"/>
  <c r="R4" i="48061"/>
  <c r="S4" i="48061"/>
  <c r="R5" i="48061"/>
  <c r="R6" i="48061"/>
  <c r="R7" i="48061"/>
  <c r="S7" i="48061"/>
  <c r="R8" i="48061"/>
  <c r="S8" i="48061"/>
  <c r="R9" i="48061"/>
  <c r="R10" i="48061"/>
  <c r="S10" i="48061" s="1"/>
  <c r="R11" i="48061"/>
  <c r="S11" i="48061" s="1"/>
  <c r="R12" i="48061"/>
  <c r="S12" i="48061" s="1"/>
  <c r="R13" i="48061"/>
  <c r="S13" i="48061" s="1"/>
  <c r="R14" i="48061"/>
  <c r="S5" i="48061"/>
  <c r="S6" i="48061"/>
  <c r="S9" i="48061"/>
  <c r="S14" i="48061"/>
  <c r="D15" i="48061"/>
  <c r="E15" i="48061"/>
  <c r="F15" i="48061"/>
  <c r="G15" i="48061"/>
  <c r="H15" i="48061"/>
  <c r="I15" i="48061"/>
  <c r="J15" i="48061"/>
  <c r="K15" i="48061"/>
  <c r="L15" i="48061"/>
  <c r="M15" i="48061"/>
  <c r="N15" i="48061"/>
  <c r="O15" i="48061"/>
  <c r="P15" i="48061"/>
  <c r="Q15" i="48061"/>
  <c r="C15" i="48061"/>
  <c r="X17" i="48042"/>
  <c r="X18" i="48042"/>
  <c r="X19" i="48042"/>
  <c r="X20" i="48042"/>
  <c r="Y20" i="48042"/>
  <c r="X22" i="48042"/>
  <c r="X23" i="48042"/>
  <c r="W18" i="48042"/>
  <c r="Y18" i="48042"/>
  <c r="W20" i="48042"/>
  <c r="W21" i="48042"/>
  <c r="S18" i="48042"/>
  <c r="T18" i="48042"/>
  <c r="S19" i="48042"/>
  <c r="U19" i="48042"/>
  <c r="T19" i="48042"/>
  <c r="T20" i="48042"/>
  <c r="S21" i="48042"/>
  <c r="T21" i="48042"/>
  <c r="S22" i="48042"/>
  <c r="U22" i="48042"/>
  <c r="T22" i="48042"/>
  <c r="S23" i="48042"/>
  <c r="S17" i="48042"/>
  <c r="U17" i="48042"/>
  <c r="T17" i="48042"/>
  <c r="J18" i="48042"/>
  <c r="J19" i="48042"/>
  <c r="J20" i="48042"/>
  <c r="J21" i="48042"/>
  <c r="J22" i="48042"/>
  <c r="J23" i="48042"/>
  <c r="J17" i="48042"/>
  <c r="V18" i="48042"/>
  <c r="V19" i="48042"/>
  <c r="V20" i="48042"/>
  <c r="V21" i="48042"/>
  <c r="V22" i="48042"/>
  <c r="R18" i="48042"/>
  <c r="R19" i="48042"/>
  <c r="R20" i="48042"/>
  <c r="R21" i="48042"/>
  <c r="C4" i="48058"/>
  <c r="C7" i="48058"/>
  <c r="C12" i="48058"/>
  <c r="C19" i="48058"/>
  <c r="C21" i="48058"/>
  <c r="C24" i="48058"/>
  <c r="C26" i="48058"/>
  <c r="C30" i="48058"/>
  <c r="C33" i="48058"/>
  <c r="G20" i="48042"/>
  <c r="R25" i="48060"/>
  <c r="S25" i="48060" s="1"/>
  <c r="R20" i="48060"/>
  <c r="R6" i="48060"/>
  <c r="S6" i="48060"/>
  <c r="H58" i="48042"/>
  <c r="E58" i="48042"/>
  <c r="F33" i="48057"/>
  <c r="G33" i="48057"/>
  <c r="H33" i="48057"/>
  <c r="I33" i="48057"/>
  <c r="J33" i="48057"/>
  <c r="K33" i="48057"/>
  <c r="L33" i="48057"/>
  <c r="M33" i="48057"/>
  <c r="N33" i="48057"/>
  <c r="O33" i="48057"/>
  <c r="P33" i="48057"/>
  <c r="Q33" i="48057"/>
  <c r="D33" i="48057"/>
  <c r="R32" i="48057"/>
  <c r="S32" i="48057" s="1"/>
  <c r="R29" i="48057"/>
  <c r="S29" i="48057" s="1"/>
  <c r="R25" i="48057"/>
  <c r="S25" i="48057" s="1"/>
  <c r="R23" i="48057"/>
  <c r="S23" i="48057" s="1"/>
  <c r="R20" i="48057"/>
  <c r="S20" i="48057" s="1"/>
  <c r="R18" i="48057"/>
  <c r="S18" i="48057" s="1"/>
  <c r="R11" i="48057"/>
  <c r="S11" i="48057" s="1"/>
  <c r="R6" i="48057"/>
  <c r="S6" i="48057" s="1"/>
  <c r="R3" i="48057"/>
  <c r="S3" i="48057" s="1"/>
  <c r="G53" i="48042"/>
  <c r="F53" i="48042" s="1"/>
  <c r="G55" i="48042"/>
  <c r="F55" i="48042" s="1"/>
  <c r="G23" i="48042"/>
  <c r="H50" i="48042"/>
  <c r="E51" i="48042"/>
  <c r="R54" i="48042"/>
  <c r="G54" i="48042"/>
  <c r="F54" i="48042" s="1"/>
  <c r="W51" i="48065"/>
  <c r="Z51" i="48065"/>
  <c r="E51" i="48065"/>
  <c r="L51" i="48065"/>
  <c r="L55" i="48065"/>
  <c r="Q52" i="48042"/>
  <c r="E52" i="48042"/>
  <c r="Q49" i="48042"/>
  <c r="Q49" i="48065"/>
  <c r="W50" i="48065"/>
  <c r="Z50" i="48065"/>
  <c r="Z54" i="48065"/>
  <c r="L54" i="48065"/>
  <c r="E58" i="48065"/>
  <c r="L58" i="48065"/>
  <c r="M58" i="48065" s="1"/>
  <c r="G50" i="48042"/>
  <c r="F50" i="48042" s="1"/>
  <c r="D18" i="48065"/>
  <c r="Y49" i="48064"/>
  <c r="E59" i="48065"/>
  <c r="E54" i="48042"/>
  <c r="K54" i="48063"/>
  <c r="G50" i="48063"/>
  <c r="F50" i="48063"/>
  <c r="E53" i="48064"/>
  <c r="S49" i="48064"/>
  <c r="G57" i="48064"/>
  <c r="F57" i="48064"/>
  <c r="G53" i="48064"/>
  <c r="F53" i="48064"/>
  <c r="S59" i="48064"/>
  <c r="H54" i="48042"/>
  <c r="R58" i="48042"/>
  <c r="E50" i="48063"/>
  <c r="G49" i="48063"/>
  <c r="F49" i="48063"/>
  <c r="T55" i="48064"/>
  <c r="W52" i="48064"/>
  <c r="L22" i="48064"/>
  <c r="L18" i="48064"/>
  <c r="M18" i="48064" s="1"/>
  <c r="S58" i="48065"/>
  <c r="H55" i="48065"/>
  <c r="H57" i="48042"/>
  <c r="H52" i="48042"/>
  <c r="G17" i="48042"/>
  <c r="F17" i="48042"/>
  <c r="F20" i="48042"/>
  <c r="AC59" i="48042"/>
  <c r="S59" i="48063"/>
  <c r="E56" i="48063"/>
  <c r="W52" i="48063"/>
  <c r="Q58" i="48063"/>
  <c r="Q59" i="48064"/>
  <c r="L58" i="48064"/>
  <c r="M58" i="48064" s="1"/>
  <c r="E54" i="48064"/>
  <c r="H53" i="48064"/>
  <c r="K59" i="48065"/>
  <c r="N59" i="48065" s="1"/>
  <c r="Y55" i="48065"/>
  <c r="K55" i="48065"/>
  <c r="N55" i="48065" s="1"/>
  <c r="T51" i="48065"/>
  <c r="E50" i="48065"/>
  <c r="F58" i="48065"/>
  <c r="R57" i="48042"/>
  <c r="R52" i="48042"/>
  <c r="Q54" i="48042"/>
  <c r="L60" i="48042"/>
  <c r="M60" i="48042" s="1"/>
  <c r="K60" i="48042"/>
  <c r="R56" i="48042"/>
  <c r="C60" i="48042"/>
  <c r="R59" i="48042"/>
  <c r="Q56" i="48042"/>
  <c r="Q57" i="48042"/>
  <c r="R50" i="48042"/>
  <c r="H53" i="48042"/>
  <c r="E59" i="48042"/>
  <c r="F57" i="48042"/>
  <c r="Q51" i="48042"/>
  <c r="E57" i="48042"/>
  <c r="Q58" i="48042"/>
  <c r="F51" i="48042"/>
  <c r="F59" i="48042"/>
  <c r="R49" i="48042"/>
  <c r="R55" i="48042"/>
  <c r="Q55" i="48042"/>
  <c r="R53" i="48042"/>
  <c r="O60" i="48042"/>
  <c r="Q53" i="48042"/>
  <c r="Q50" i="48042"/>
  <c r="E55" i="48042"/>
  <c r="H59" i="48042"/>
  <c r="E53" i="48042"/>
  <c r="Q59" i="48042"/>
  <c r="H51" i="48042"/>
  <c r="H55" i="48042"/>
  <c r="G60" i="48042"/>
  <c r="G49" i="48042"/>
  <c r="F49" i="48042"/>
  <c r="N60" i="48042"/>
  <c r="E17" i="48042"/>
  <c r="E20" i="48042"/>
  <c r="G18" i="48042"/>
  <c r="F18" i="48042" s="1"/>
  <c r="E18" i="48042"/>
  <c r="H17" i="48042"/>
  <c r="W49" i="48063"/>
  <c r="Z49" i="48063"/>
  <c r="Y49" i="48063"/>
  <c r="W56" i="48063"/>
  <c r="Y56" i="48063"/>
  <c r="G57" i="48063"/>
  <c r="F57" i="48063"/>
  <c r="K57" i="48063"/>
  <c r="N57" i="48063"/>
  <c r="H57" i="48063"/>
  <c r="Q17" i="48064"/>
  <c r="G58" i="48064"/>
  <c r="F58" i="48064"/>
  <c r="E55" i="48064"/>
  <c r="G55" i="48064"/>
  <c r="F55" i="48064" s="1"/>
  <c r="H55" i="48064"/>
  <c r="K55" i="48064"/>
  <c r="N55" i="48064" s="1"/>
  <c r="M55" i="48064"/>
  <c r="H50" i="48064"/>
  <c r="K50" i="48064"/>
  <c r="N50" i="48064"/>
  <c r="G50" i="48064"/>
  <c r="F50" i="48064"/>
  <c r="Y53" i="48064"/>
  <c r="K50" i="48065"/>
  <c r="N50" i="48065" s="1"/>
  <c r="F50" i="48065"/>
  <c r="L18" i="48063"/>
  <c r="E49" i="48064"/>
  <c r="L49" i="48064"/>
  <c r="M49" i="48064"/>
  <c r="D60" i="48064"/>
  <c r="L53" i="48065"/>
  <c r="L57" i="48065"/>
  <c r="E57" i="48065"/>
  <c r="Q59" i="48063"/>
  <c r="T59" i="48063"/>
  <c r="W50" i="48063"/>
  <c r="G23" i="48063"/>
  <c r="K23" i="48063"/>
  <c r="Q54" i="48064"/>
  <c r="T54" i="48064"/>
  <c r="Y56" i="48064"/>
  <c r="K57" i="48065"/>
  <c r="N57" i="48065" s="1"/>
  <c r="M57" i="48065"/>
  <c r="F57" i="48065"/>
  <c r="H57" i="48065"/>
  <c r="L19" i="48063"/>
  <c r="L55" i="48063"/>
  <c r="M55" i="48063" s="1"/>
  <c r="E55" i="48063"/>
  <c r="L24" i="48065"/>
  <c r="D17" i="48065"/>
  <c r="AA49" i="48042"/>
  <c r="S58" i="48063"/>
  <c r="Y54" i="48063"/>
  <c r="E49" i="48063"/>
  <c r="K49" i="48063"/>
  <c r="M49" i="48063"/>
  <c r="N49" i="48063"/>
  <c r="Y50" i="48064"/>
  <c r="S51" i="48064"/>
  <c r="S58" i="48064"/>
  <c r="W51" i="48064"/>
  <c r="W59" i="48064"/>
  <c r="Z59" i="48064"/>
  <c r="K22" i="48065"/>
  <c r="M22" i="48065" s="1"/>
  <c r="S57" i="48065"/>
  <c r="E51" i="48064"/>
  <c r="L51" i="48064"/>
  <c r="D20" i="48065"/>
  <c r="D23" i="48065"/>
  <c r="T50" i="48063"/>
  <c r="Q52" i="48064"/>
  <c r="T52" i="48064"/>
  <c r="W49" i="48065"/>
  <c r="Z49" i="48065"/>
  <c r="Y49" i="48065"/>
  <c r="L51" i="48063"/>
  <c r="L21" i="48064"/>
  <c r="L54" i="48064"/>
  <c r="L50" i="48065"/>
  <c r="M50" i="48065"/>
  <c r="W59" i="48065"/>
  <c r="M57" i="48063"/>
  <c r="O60" i="48064"/>
  <c r="T57" i="48063"/>
  <c r="H55" i="48063"/>
  <c r="Z53" i="48064"/>
  <c r="E50" i="48064"/>
  <c r="H49" i="48064"/>
  <c r="M52" i="48063"/>
  <c r="M56" i="48063"/>
  <c r="E57" i="48063"/>
  <c r="G20" i="48063"/>
  <c r="Q54" i="48063"/>
  <c r="Z56" i="48064"/>
  <c r="Z54" i="48064"/>
  <c r="H58" i="48064"/>
  <c r="W57" i="48042"/>
  <c r="T52" i="48065"/>
  <c r="F55" i="48065"/>
  <c r="G55" i="48063"/>
  <c r="F55" i="48063"/>
  <c r="Z49" i="48064"/>
  <c r="V60" i="48064"/>
  <c r="U56" i="48042"/>
  <c r="X50" i="48042"/>
  <c r="E59" i="48063"/>
  <c r="E53" i="48063"/>
  <c r="E52" i="48063"/>
  <c r="K50" i="48063"/>
  <c r="N50" i="48063" s="1"/>
  <c r="K22" i="48063"/>
  <c r="Q17" i="48063"/>
  <c r="L59" i="48064"/>
  <c r="L60" i="48064" s="1"/>
  <c r="M60" i="48064" s="1"/>
  <c r="Z50" i="48064"/>
  <c r="G49" i="48064"/>
  <c r="F49" i="48064" s="1"/>
  <c r="K57" i="48064"/>
  <c r="M57" i="48064" s="1"/>
  <c r="G52" i="48064"/>
  <c r="F52" i="48064" s="1"/>
  <c r="T58" i="48065"/>
  <c r="Z57" i="48065"/>
  <c r="L56" i="48065"/>
  <c r="H53" i="48065"/>
  <c r="F51" i="48065"/>
  <c r="L53" i="48063"/>
  <c r="L59" i="48063"/>
  <c r="W53" i="48042"/>
  <c r="AC49" i="48042"/>
  <c r="Z52" i="48065"/>
  <c r="K51" i="48065"/>
  <c r="N51" i="48065" s="1"/>
  <c r="S53" i="48065"/>
  <c r="G21" i="48064"/>
  <c r="F21" i="48064"/>
  <c r="W51" i="48042"/>
  <c r="H52" i="48063"/>
  <c r="U50" i="48042"/>
  <c r="AA57" i="48042"/>
  <c r="W50" i="48042"/>
  <c r="U58" i="48042"/>
  <c r="X53" i="48042"/>
  <c r="AA54" i="48042"/>
  <c r="AA50" i="48042"/>
  <c r="U21" i="48042"/>
  <c r="AC53" i="48042"/>
  <c r="AD57" i="48042"/>
  <c r="AC50" i="48042"/>
  <c r="W55" i="48042"/>
  <c r="U59" i="48042"/>
  <c r="U55" i="48042"/>
  <c r="W58" i="48042"/>
  <c r="AA59" i="48042"/>
  <c r="AD50" i="48042"/>
  <c r="M50" i="48064"/>
  <c r="H57" i="48074"/>
  <c r="H55" i="48074"/>
  <c r="E54" i="48074"/>
  <c r="E52" i="48074"/>
  <c r="H51" i="48074"/>
  <c r="H49" i="48074"/>
  <c r="U59" i="48074"/>
  <c r="X56" i="48074"/>
  <c r="W54" i="48074"/>
  <c r="U52" i="48074"/>
  <c r="X52" i="48074"/>
  <c r="AA57" i="48074"/>
  <c r="AA56" i="48074"/>
  <c r="AD55" i="48074"/>
  <c r="AC53" i="48074"/>
  <c r="AD51" i="48074"/>
  <c r="F22" i="48074"/>
  <c r="E22" i="48074"/>
  <c r="H18" i="48074"/>
  <c r="F23" i="48063"/>
  <c r="E23" i="48063"/>
  <c r="Q24" i="48074"/>
  <c r="F18" i="48074"/>
  <c r="H22" i="48074"/>
  <c r="X49" i="48074"/>
  <c r="X51" i="48074"/>
  <c r="AD56" i="48074"/>
  <c r="AD58" i="48074"/>
  <c r="X59" i="48074"/>
  <c r="E18" i="48074"/>
  <c r="E21" i="48074"/>
  <c r="E49" i="48074"/>
  <c r="AA49" i="48074"/>
  <c r="AC50" i="48074"/>
  <c r="W53" i="48074"/>
  <c r="AC54" i="48074"/>
  <c r="F21" i="48074"/>
  <c r="F49" i="48074"/>
  <c r="F51" i="48074"/>
  <c r="F53" i="48074"/>
  <c r="S60" i="48074"/>
  <c r="AD49" i="48074"/>
  <c r="F58" i="48075"/>
  <c r="H57" i="48075"/>
  <c r="H55" i="48075"/>
  <c r="F55" i="48075"/>
  <c r="F51" i="48075"/>
  <c r="H51" i="48075"/>
  <c r="F50" i="48075"/>
  <c r="H21" i="48075"/>
  <c r="F54" i="48075"/>
  <c r="F53" i="48075"/>
  <c r="F57" i="48075"/>
  <c r="C24" i="48075"/>
  <c r="G24" i="48075" s="1"/>
  <c r="H19" i="48075"/>
  <c r="E19" i="48075"/>
  <c r="E22" i="48075"/>
  <c r="N60" i="48075"/>
  <c r="Q24" i="48075"/>
  <c r="E49" i="48075"/>
  <c r="D60" i="48075"/>
  <c r="U50" i="48075"/>
  <c r="W50" i="48075"/>
  <c r="U52" i="48075"/>
  <c r="W52" i="48075"/>
  <c r="U54" i="48075"/>
  <c r="W54" i="48075"/>
  <c r="U56" i="48075"/>
  <c r="W56" i="48075"/>
  <c r="U58" i="48075"/>
  <c r="W58" i="48075"/>
  <c r="F19" i="48075"/>
  <c r="F22" i="48075"/>
  <c r="Z60" i="48075"/>
  <c r="AA49" i="48075"/>
  <c r="AC49" i="48075"/>
  <c r="AA51" i="48075"/>
  <c r="AC51" i="48075"/>
  <c r="AA53" i="48075"/>
  <c r="AC53" i="48075"/>
  <c r="AA55" i="48075"/>
  <c r="AC55" i="48075"/>
  <c r="AA57" i="48075"/>
  <c r="AC57" i="48075"/>
  <c r="X49" i="48075"/>
  <c r="H50" i="48075"/>
  <c r="AD50" i="48075"/>
  <c r="X51" i="48075"/>
  <c r="H52" i="48075"/>
  <c r="AD52" i="48075"/>
  <c r="X53" i="48075"/>
  <c r="X60" i="48075" s="1"/>
  <c r="H54" i="48075"/>
  <c r="AD54" i="48075"/>
  <c r="X55" i="48075"/>
  <c r="H56" i="48075"/>
  <c r="AD56" i="48075"/>
  <c r="X57" i="48075"/>
  <c r="H58" i="48075"/>
  <c r="AD58" i="48075"/>
  <c r="X59" i="48075"/>
  <c r="U49" i="48075"/>
  <c r="AA50" i="48075"/>
  <c r="U51" i="48075"/>
  <c r="AA52" i="48075"/>
  <c r="U53" i="48075"/>
  <c r="AA54" i="48075"/>
  <c r="U55" i="48075"/>
  <c r="AA56" i="48075"/>
  <c r="U57" i="48075"/>
  <c r="AA58" i="48075"/>
  <c r="U59" i="48075"/>
  <c r="AC59" i="48075"/>
  <c r="T60" i="48075"/>
  <c r="AD59" i="48075"/>
  <c r="AD60" i="48075" s="1"/>
  <c r="E21" i="48063"/>
  <c r="Q56" i="48063"/>
  <c r="K51" i="48063"/>
  <c r="N51" i="48063" s="1"/>
  <c r="R17" i="48065"/>
  <c r="V17" i="48074"/>
  <c r="V17" i="48042"/>
  <c r="R17" i="48064"/>
  <c r="L20" i="48064"/>
  <c r="M20" i="48064" s="1"/>
  <c r="F20" i="48064"/>
  <c r="H20" i="48064"/>
  <c r="U60" i="48064"/>
  <c r="W60" i="48064"/>
  <c r="G21" i="48042"/>
  <c r="F21" i="48042"/>
  <c r="E49" i="48042"/>
  <c r="T53" i="48063"/>
  <c r="Y53" i="48063"/>
  <c r="E20" i="48064"/>
  <c r="W55" i="48065"/>
  <c r="Z55" i="48065"/>
  <c r="S22" i="48063"/>
  <c r="W22" i="48042"/>
  <c r="Y22" i="48042" s="1"/>
  <c r="R23" i="48060"/>
  <c r="S23" i="48060" s="1"/>
  <c r="S22" i="48065"/>
  <c r="U22" i="48065" s="1"/>
  <c r="R29" i="48060"/>
  <c r="S29" i="48060" s="1"/>
  <c r="S23" i="48065"/>
  <c r="W23" i="48074"/>
  <c r="S23" i="48064"/>
  <c r="W23" i="48042"/>
  <c r="Y23" i="48042"/>
  <c r="S51" i="48065"/>
  <c r="D20" i="48063"/>
  <c r="C34" i="48066"/>
  <c r="H22" i="48063"/>
  <c r="H56" i="48074"/>
  <c r="F56" i="48074"/>
  <c r="E56" i="48074"/>
  <c r="U57" i="48074"/>
  <c r="X57" i="48074"/>
  <c r="W57" i="48074"/>
  <c r="D60" i="48074"/>
  <c r="X49" i="48042"/>
  <c r="W49" i="48042"/>
  <c r="AA51" i="48042"/>
  <c r="H21" i="48063"/>
  <c r="E21" i="48064"/>
  <c r="Q50" i="48063"/>
  <c r="P60" i="48065"/>
  <c r="S60" i="48065" s="1"/>
  <c r="E19" i="48063"/>
  <c r="E21" i="48042"/>
  <c r="N54" i="48063"/>
  <c r="G59" i="48064"/>
  <c r="F59" i="48064"/>
  <c r="H21" i="48042"/>
  <c r="AA56" i="48042"/>
  <c r="Y57" i="48063"/>
  <c r="S56" i="48063"/>
  <c r="Z55" i="48063"/>
  <c r="W55" i="48063"/>
  <c r="W51" i="48063"/>
  <c r="Z58" i="48063"/>
  <c r="Z58" i="48064"/>
  <c r="W58" i="48064"/>
  <c r="H18" i="48064"/>
  <c r="K18" i="48064"/>
  <c r="G18" i="48064"/>
  <c r="F18" i="48064"/>
  <c r="Q49" i="48064"/>
  <c r="Q56" i="48064"/>
  <c r="C21" i="48065"/>
  <c r="D34" i="48058"/>
  <c r="K49" i="48065"/>
  <c r="E49" i="48065"/>
  <c r="R18" i="48060"/>
  <c r="S18" i="48060"/>
  <c r="W21" i="48074"/>
  <c r="S21" i="48064"/>
  <c r="F33" i="48060"/>
  <c r="E21" i="48065"/>
  <c r="E50" i="48074"/>
  <c r="AC58" i="48074"/>
  <c r="Q52" i="48063"/>
  <c r="S52" i="48063"/>
  <c r="K19" i="48064"/>
  <c r="M19" i="48064"/>
  <c r="G19" i="48064"/>
  <c r="F19" i="48064"/>
  <c r="E19" i="48064"/>
  <c r="X21" i="48074"/>
  <c r="Y21" i="48074" s="1"/>
  <c r="T21" i="48064"/>
  <c r="X21" i="48042"/>
  <c r="Y21" i="48042"/>
  <c r="E23" i="48042"/>
  <c r="F23" i="48042"/>
  <c r="H19" i="48064"/>
  <c r="H49" i="48042"/>
  <c r="F35" i="48057"/>
  <c r="S20" i="48060"/>
  <c r="H50" i="48074"/>
  <c r="M50" i="48063"/>
  <c r="Z60" i="48042"/>
  <c r="X51" i="48042"/>
  <c r="AD53" i="48042"/>
  <c r="E59" i="48064"/>
  <c r="K21" i="48064"/>
  <c r="M21" i="48064"/>
  <c r="H19" i="48063"/>
  <c r="C24" i="48042"/>
  <c r="G24" i="48042" s="1"/>
  <c r="M55" i="48065"/>
  <c r="E22" i="48063"/>
  <c r="D33" i="48060"/>
  <c r="F56" i="48042"/>
  <c r="W59" i="48063"/>
  <c r="T21" i="48063"/>
  <c r="U21" i="48063" s="1"/>
  <c r="R17" i="48063"/>
  <c r="K21" i="48063"/>
  <c r="M21" i="48063"/>
  <c r="K19" i="48063"/>
  <c r="S23" i="48063"/>
  <c r="U23" i="48063" s="1"/>
  <c r="Q55" i="48063"/>
  <c r="T59" i="48064"/>
  <c r="N56" i="48064"/>
  <c r="T21" i="48065"/>
  <c r="U21" i="48065"/>
  <c r="N17" i="48065"/>
  <c r="R17" i="48074"/>
  <c r="R17" i="48042"/>
  <c r="Q19" i="48065"/>
  <c r="W20" i="48074"/>
  <c r="G20" i="48074"/>
  <c r="W50" i="48064"/>
  <c r="T23" i="48065"/>
  <c r="U23" i="48065"/>
  <c r="T23" i="48064"/>
  <c r="U23" i="48064" s="1"/>
  <c r="N23" i="48064"/>
  <c r="X19" i="48074"/>
  <c r="T19" i="48065"/>
  <c r="S21" i="48074"/>
  <c r="O21" i="48064"/>
  <c r="Q21" i="48064" s="1"/>
  <c r="O23" i="48065"/>
  <c r="W22" i="48074"/>
  <c r="W57" i="48065"/>
  <c r="D23" i="48064"/>
  <c r="E53" i="48074"/>
  <c r="H53" i="48074"/>
  <c r="E58" i="48074"/>
  <c r="G58" i="48074"/>
  <c r="F58" i="48074"/>
  <c r="AA53" i="48074"/>
  <c r="W52" i="48074"/>
  <c r="H52" i="48064"/>
  <c r="E52" i="48064"/>
  <c r="Q55" i="48064"/>
  <c r="X20" i="48074"/>
  <c r="Y20" i="48074" s="1"/>
  <c r="T20" i="48065"/>
  <c r="U20" i="48065"/>
  <c r="O20" i="48065"/>
  <c r="Q20" i="48065"/>
  <c r="S20" i="48074"/>
  <c r="S22" i="48074"/>
  <c r="W54" i="48065"/>
  <c r="S23" i="48074"/>
  <c r="H59" i="48063"/>
  <c r="V22" i="48074"/>
  <c r="R22" i="48065"/>
  <c r="N21" i="48065"/>
  <c r="R21" i="48074"/>
  <c r="T18" i="48074"/>
  <c r="P18" i="48065"/>
  <c r="C23" i="48065"/>
  <c r="H52" i="48065"/>
  <c r="K52" i="48065"/>
  <c r="N52" i="48065"/>
  <c r="S20" i="48065"/>
  <c r="W52" i="48065"/>
  <c r="D34" i="48066"/>
  <c r="G17" i="48074"/>
  <c r="F17" i="48074" s="1"/>
  <c r="X18" i="48074"/>
  <c r="H21" i="48074"/>
  <c r="AA59" i="48074"/>
  <c r="W51" i="48074"/>
  <c r="R23" i="48065"/>
  <c r="H56" i="48065"/>
  <c r="K56" i="48065"/>
  <c r="N56" i="48065" s="1"/>
  <c r="O18" i="48065"/>
  <c r="Q18" i="48065" s="1"/>
  <c r="S19" i="48074"/>
  <c r="W56" i="48065"/>
  <c r="D17" i="48064"/>
  <c r="L17" i="48064" s="1"/>
  <c r="L24" i="48064" s="1"/>
  <c r="M24" i="48064" s="1"/>
  <c r="C34" i="48068"/>
  <c r="E57" i="48064"/>
  <c r="C34" i="48070"/>
  <c r="E56" i="48065"/>
  <c r="V60" i="48074"/>
  <c r="AA51" i="48074"/>
  <c r="AC51" i="48074"/>
  <c r="AA54" i="48074"/>
  <c r="U60" i="48075"/>
  <c r="AC60" i="48075"/>
  <c r="L23" i="48064"/>
  <c r="M51" i="48063"/>
  <c r="F21" i="48065"/>
  <c r="K21" i="48065"/>
  <c r="M21" i="48065" s="1"/>
  <c r="H21" i="48065"/>
  <c r="M56" i="48065"/>
  <c r="M19" i="48063"/>
  <c r="U21" i="48064"/>
  <c r="H20" i="48063"/>
  <c r="E20" i="48063"/>
  <c r="L20" i="48063"/>
  <c r="M20" i="48063"/>
  <c r="F20" i="48063"/>
  <c r="K23" i="48065"/>
  <c r="M23" i="48065" s="1"/>
  <c r="E23" i="48065"/>
  <c r="D24" i="48064"/>
  <c r="D24" i="48063"/>
  <c r="U22" i="48063"/>
  <c r="X24" i="48042"/>
  <c r="F23" i="48065"/>
  <c r="R60" i="48076"/>
  <c r="E57" i="48076"/>
  <c r="F57" i="48076"/>
  <c r="H56" i="48076"/>
  <c r="F54" i="48076"/>
  <c r="H54" i="48076"/>
  <c r="E53" i="48076"/>
  <c r="H52" i="48076"/>
  <c r="E51" i="48076"/>
  <c r="F51" i="48076"/>
  <c r="D60" i="48076"/>
  <c r="E60" i="48076" s="1"/>
  <c r="E49" i="48076"/>
  <c r="Q18" i="48076"/>
  <c r="F21" i="48076"/>
  <c r="E20" i="48076"/>
  <c r="F23" i="48076"/>
  <c r="F22" i="48076"/>
  <c r="F18" i="48076"/>
  <c r="E18" i="48076"/>
  <c r="P24" i="48076"/>
  <c r="Q24" i="48076" s="1"/>
  <c r="S60" i="48076"/>
  <c r="W24" i="48076"/>
  <c r="E19" i="48076"/>
  <c r="L24" i="48076"/>
  <c r="M24" i="48076" s="1"/>
  <c r="U51" i="48076"/>
  <c r="E52" i="48076"/>
  <c r="U55" i="48076"/>
  <c r="E56" i="48076"/>
  <c r="W59" i="48076"/>
  <c r="U59" i="48076"/>
  <c r="M60" i="48076"/>
  <c r="S24" i="48076"/>
  <c r="U17" i="48076"/>
  <c r="M19" i="48076"/>
  <c r="E21" i="48076"/>
  <c r="E22" i="48076"/>
  <c r="M22" i="48076"/>
  <c r="Y60" i="48076"/>
  <c r="AA60" i="48076"/>
  <c r="AA50" i="48076"/>
  <c r="F52" i="48076"/>
  <c r="AA54" i="48076"/>
  <c r="F56" i="48076"/>
  <c r="AA58" i="48076"/>
  <c r="D24" i="48076"/>
  <c r="F17" i="48076"/>
  <c r="F24" i="48076"/>
  <c r="F19" i="48076"/>
  <c r="C60" i="48076"/>
  <c r="G60" i="48076" s="1"/>
  <c r="F60" i="48076" s="1"/>
  <c r="N60" i="48076"/>
  <c r="X59" i="48076"/>
  <c r="T60" i="48076"/>
  <c r="U60" i="48076" s="1"/>
  <c r="C24" i="48076"/>
  <c r="AC49" i="48076"/>
  <c r="W50" i="48076"/>
  <c r="AC51" i="48076"/>
  <c r="W52" i="48076"/>
  <c r="AC53" i="48076"/>
  <c r="W54" i="48076"/>
  <c r="AC55" i="48076"/>
  <c r="W56" i="48076"/>
  <c r="AD49" i="48076"/>
  <c r="H56" i="48078"/>
  <c r="E53" i="48078"/>
  <c r="N60" i="48078"/>
  <c r="M60" i="48078"/>
  <c r="E49" i="48078"/>
  <c r="R60" i="48078"/>
  <c r="E54" i="48078"/>
  <c r="E55" i="48078"/>
  <c r="V60" i="48078"/>
  <c r="E56" i="48078"/>
  <c r="E57" i="48078"/>
  <c r="H58" i="48078"/>
  <c r="E50" i="48078"/>
  <c r="E51" i="48078"/>
  <c r="H52" i="48078"/>
  <c r="H21" i="48078"/>
  <c r="H19" i="48078"/>
  <c r="C24" i="48078"/>
  <c r="G24" i="48078" s="1"/>
  <c r="E21" i="48078"/>
  <c r="H17" i="48078"/>
  <c r="E17" i="48078"/>
  <c r="Z60" i="48078"/>
  <c r="AA49" i="48078"/>
  <c r="F20" i="48078"/>
  <c r="T24" i="48078"/>
  <c r="U24" i="48078"/>
  <c r="AA50" i="48078"/>
  <c r="Y50" i="48078"/>
  <c r="H51" i="48078"/>
  <c r="AA52" i="48078"/>
  <c r="Y52" i="48078"/>
  <c r="H53" i="48078"/>
  <c r="AA54" i="48078"/>
  <c r="Y54" i="48078"/>
  <c r="H55" i="48078"/>
  <c r="AA56" i="48078"/>
  <c r="Y56" i="48078"/>
  <c r="H57" i="48078"/>
  <c r="AA58" i="48078"/>
  <c r="Y58" i="48078"/>
  <c r="E18" i="48078"/>
  <c r="E20" i="48078"/>
  <c r="G21" i="48078"/>
  <c r="F21" i="48078"/>
  <c r="H22" i="48078"/>
  <c r="F49" i="48078"/>
  <c r="W60" i="48078"/>
  <c r="Y60" i="48078"/>
  <c r="AB49" i="48078"/>
  <c r="AG49" i="48078"/>
  <c r="AE49" i="48078"/>
  <c r="AG51" i="48078"/>
  <c r="AE51" i="48078"/>
  <c r="AG53" i="48078"/>
  <c r="AE53" i="48078"/>
  <c r="AG55" i="48078"/>
  <c r="AE55" i="48078"/>
  <c r="AG57" i="48078"/>
  <c r="AE57" i="48078"/>
  <c r="AG59" i="48078"/>
  <c r="AE59" i="48078"/>
  <c r="AD60" i="48078"/>
  <c r="H18" i="48078"/>
  <c r="E19" i="48078"/>
  <c r="H20" i="48078"/>
  <c r="F23" i="48078"/>
  <c r="E23" i="48078"/>
  <c r="O24" i="48078"/>
  <c r="Q24" i="48078" s="1"/>
  <c r="D60" i="48078"/>
  <c r="X60" i="48078"/>
  <c r="AA60" i="48078" s="1"/>
  <c r="AB50" i="48078"/>
  <c r="F51" i="48078"/>
  <c r="AB52" i="48078"/>
  <c r="F53" i="48078"/>
  <c r="AB54" i="48078"/>
  <c r="F55" i="48078"/>
  <c r="AB56" i="48078"/>
  <c r="F57" i="48078"/>
  <c r="AB58" i="48078"/>
  <c r="F59" i="48078"/>
  <c r="G50" i="48078"/>
  <c r="F50" i="48078" s="1"/>
  <c r="G52" i="48078"/>
  <c r="F52" i="48078" s="1"/>
  <c r="G54" i="48078"/>
  <c r="F54" i="48078" s="1"/>
  <c r="G56" i="48078"/>
  <c r="F56" i="48078" s="1"/>
  <c r="G58" i="48078"/>
  <c r="F58" i="48078" s="1"/>
  <c r="C60" i="48078"/>
  <c r="G60" i="48078" s="1"/>
  <c r="F60" i="48078" s="1"/>
  <c r="G17" i="48078"/>
  <c r="F17" i="48078"/>
  <c r="F24" i="48078" s="1"/>
  <c r="G22" i="48078"/>
  <c r="F22" i="48078" s="1"/>
  <c r="G18" i="48078"/>
  <c r="F18" i="48078"/>
  <c r="Y49" i="48078"/>
  <c r="E60" i="48078"/>
  <c r="E22" i="48078"/>
  <c r="D24" i="48078"/>
  <c r="AE51" i="48079"/>
  <c r="AG55" i="48079"/>
  <c r="AG51" i="48079"/>
  <c r="AH52" i="48079"/>
  <c r="AH59" i="48079"/>
  <c r="AH55" i="48079"/>
  <c r="AG56" i="48079"/>
  <c r="Q19" i="48079"/>
  <c r="H23" i="48079"/>
  <c r="E20" i="48079"/>
  <c r="F20" i="48079"/>
  <c r="E17" i="48079"/>
  <c r="F53" i="48079"/>
  <c r="F57" i="48079"/>
  <c r="AF60" i="48079"/>
  <c r="AG49" i="48079"/>
  <c r="E18" i="48079"/>
  <c r="E21" i="48079"/>
  <c r="H21" i="48079"/>
  <c r="E22" i="48079"/>
  <c r="D60" i="48079"/>
  <c r="Q60" i="48079"/>
  <c r="C24" i="48079"/>
  <c r="G24" i="48079" s="1"/>
  <c r="H22" i="48079"/>
  <c r="L24" i="48079"/>
  <c r="M24" i="48079"/>
  <c r="E49" i="48079"/>
  <c r="F17" i="48079"/>
  <c r="H18" i="48079"/>
  <c r="E23" i="48079"/>
  <c r="T24" i="48079"/>
  <c r="U24" i="48079"/>
  <c r="AA49" i="48079"/>
  <c r="X60" i="48079"/>
  <c r="Y49" i="48079"/>
  <c r="AA50" i="48079"/>
  <c r="Y50" i="48079"/>
  <c r="AA51" i="48079"/>
  <c r="Y51" i="48079"/>
  <c r="AA52" i="48079"/>
  <c r="Y52" i="48079"/>
  <c r="AA53" i="48079"/>
  <c r="Y53" i="48079"/>
  <c r="AA54" i="48079"/>
  <c r="Y54" i="48079"/>
  <c r="AA55" i="48079"/>
  <c r="Y55" i="48079"/>
  <c r="AA56" i="48079"/>
  <c r="Y56" i="48079"/>
  <c r="AA57" i="48079"/>
  <c r="Y57" i="48079"/>
  <c r="AA58" i="48079"/>
  <c r="Y58" i="48079"/>
  <c r="AA59" i="48079"/>
  <c r="Y59" i="48079"/>
  <c r="AH49" i="48079"/>
  <c r="AE49" i="48079"/>
  <c r="AD60" i="48080"/>
  <c r="AG60" i="48080" s="1"/>
  <c r="AB55" i="48080"/>
  <c r="X60" i="48080"/>
  <c r="Y60" i="48080"/>
  <c r="H58" i="48080"/>
  <c r="H57" i="48080"/>
  <c r="H55" i="48080"/>
  <c r="H53" i="48080"/>
  <c r="H51" i="48080"/>
  <c r="H50" i="48080"/>
  <c r="H49" i="48080"/>
  <c r="H20" i="48080"/>
  <c r="L24" i="48080"/>
  <c r="M24" i="48080" s="1"/>
  <c r="D19" i="48080"/>
  <c r="H19" i="48080" s="1"/>
  <c r="F54" i="48080"/>
  <c r="F17" i="48080"/>
  <c r="H22" i="48080"/>
  <c r="F22" i="48080"/>
  <c r="E22" i="48080"/>
  <c r="E23" i="48080"/>
  <c r="F23" i="48080"/>
  <c r="F20" i="48080"/>
  <c r="H21" i="48080"/>
  <c r="AA60" i="48080"/>
  <c r="C24" i="48080"/>
  <c r="G24" i="48080" s="1"/>
  <c r="F21" i="48080"/>
  <c r="F50" i="48080"/>
  <c r="F52" i="48080"/>
  <c r="F55" i="48080"/>
  <c r="C60" i="48080"/>
  <c r="G60" i="48080" s="1"/>
  <c r="F60" i="48080" s="1"/>
  <c r="F18" i="48080"/>
  <c r="M23" i="48080"/>
  <c r="D24" i="48080"/>
  <c r="Q24" i="48080"/>
  <c r="H54" i="48080"/>
  <c r="H56" i="48080"/>
  <c r="E17" i="48080"/>
  <c r="H18" i="48080"/>
  <c r="E19" i="48080"/>
  <c r="E20" i="48080"/>
  <c r="E21" i="48080"/>
  <c r="M22" i="48080"/>
  <c r="H23" i="48080"/>
  <c r="E49" i="48080"/>
  <c r="Y49" i="48080"/>
  <c r="AG49" i="48080"/>
  <c r="AG50" i="48080"/>
  <c r="AG51" i="48080"/>
  <c r="AG52" i="48080"/>
  <c r="AG53" i="48080"/>
  <c r="AG54" i="48080"/>
  <c r="AG55" i="48080"/>
  <c r="AG56" i="48080"/>
  <c r="AG57" i="48080"/>
  <c r="AG58" i="48080"/>
  <c r="F49" i="48080"/>
  <c r="F51" i="48080"/>
  <c r="F53" i="48080"/>
  <c r="F57" i="48080"/>
  <c r="F58" i="48080"/>
  <c r="AB49" i="48080"/>
  <c r="E24" i="48078"/>
  <c r="E24" i="48076"/>
  <c r="G24" i="48076"/>
  <c r="L17" i="48063"/>
  <c r="D24" i="48065"/>
  <c r="W54" i="48042"/>
  <c r="X54" i="48042"/>
  <c r="Z53" i="48063"/>
  <c r="W53" i="48063"/>
  <c r="Q19" i="48063"/>
  <c r="T57" i="48065"/>
  <c r="Q57" i="48065"/>
  <c r="T53" i="48065"/>
  <c r="Q53" i="48065"/>
  <c r="R23" i="48076"/>
  <c r="R23" i="48075"/>
  <c r="V23" i="48078"/>
  <c r="N23" i="48063"/>
  <c r="R23" i="48042"/>
  <c r="R24" i="48042" s="1"/>
  <c r="V23" i="48079"/>
  <c r="F54" i="48065"/>
  <c r="K54" i="48065"/>
  <c r="C60" i="48065"/>
  <c r="E60" i="48065" s="1"/>
  <c r="W18" i="48074"/>
  <c r="Y18" i="48074"/>
  <c r="D23" i="48074"/>
  <c r="M23" i="48074"/>
  <c r="U55" i="48074"/>
  <c r="W55" i="48074"/>
  <c r="E17" i="48075"/>
  <c r="H17" i="48075"/>
  <c r="H54" i="48065"/>
  <c r="N58" i="48065"/>
  <c r="I33" i="48060"/>
  <c r="R33" i="48060" s="1"/>
  <c r="S33" i="48060" s="1"/>
  <c r="O60" i="48065"/>
  <c r="Q60" i="48065"/>
  <c r="M51" i="48065"/>
  <c r="S2" i="48061"/>
  <c r="S15" i="48061" s="1"/>
  <c r="R15" i="48061"/>
  <c r="U57" i="48042"/>
  <c r="X57" i="48042"/>
  <c r="AD55" i="48042"/>
  <c r="AA55" i="48042"/>
  <c r="R60" i="48063"/>
  <c r="R23" i="48063"/>
  <c r="R24" i="48063" s="1"/>
  <c r="S50" i="48064"/>
  <c r="R60" i="48064"/>
  <c r="P23" i="48064"/>
  <c r="Q23" i="48064" s="1"/>
  <c r="N58" i="48064"/>
  <c r="N53" i="48064"/>
  <c r="M53" i="48064"/>
  <c r="C60" i="48064"/>
  <c r="G60" i="48064"/>
  <c r="F60" i="48064"/>
  <c r="H51" i="48064"/>
  <c r="U20" i="48064"/>
  <c r="V19" i="48076"/>
  <c r="V19" i="48075"/>
  <c r="Z19" i="48079"/>
  <c r="Z19" i="48078"/>
  <c r="V19" i="48074"/>
  <c r="R19" i="48064"/>
  <c r="R24" i="48064" s="1"/>
  <c r="H20" i="48065"/>
  <c r="M20" i="48074"/>
  <c r="D20" i="48074"/>
  <c r="L24" i="48074"/>
  <c r="M24" i="48074"/>
  <c r="AG60" i="48078"/>
  <c r="M52" i="48065"/>
  <c r="R19" i="48065"/>
  <c r="P23" i="48065"/>
  <c r="Q23" i="48065" s="1"/>
  <c r="T53" i="48064"/>
  <c r="N23" i="48065"/>
  <c r="G51" i="48064"/>
  <c r="F51" i="48064" s="1"/>
  <c r="K54" i="48064"/>
  <c r="M54" i="48064" s="1"/>
  <c r="M51" i="48064"/>
  <c r="F17" i="48075"/>
  <c r="L60" i="48063"/>
  <c r="Q50" i="48065"/>
  <c r="M53" i="48065"/>
  <c r="E58" i="48064"/>
  <c r="S49" i="48063"/>
  <c r="U53" i="48042"/>
  <c r="T60" i="48042"/>
  <c r="U49" i="48042"/>
  <c r="AC56" i="48042"/>
  <c r="AD56" i="48042"/>
  <c r="AC51" i="48042"/>
  <c r="Z57" i="48063"/>
  <c r="Z51" i="48063"/>
  <c r="U60" i="48063"/>
  <c r="T49" i="48063"/>
  <c r="T60" i="48063"/>
  <c r="O60" i="48063"/>
  <c r="P60" i="48063"/>
  <c r="Q49" i="48063"/>
  <c r="Q53" i="48063"/>
  <c r="S53" i="48063"/>
  <c r="S57" i="48063"/>
  <c r="Q57" i="48063"/>
  <c r="V60" i="48063"/>
  <c r="Z57" i="48064"/>
  <c r="W57" i="48064"/>
  <c r="Q51" i="48064"/>
  <c r="T51" i="48064"/>
  <c r="T60" i="48064"/>
  <c r="V20" i="48079"/>
  <c r="R20" i="48074"/>
  <c r="V20" i="48078"/>
  <c r="R20" i="48075"/>
  <c r="R20" i="48076"/>
  <c r="N20" i="48065"/>
  <c r="N20" i="48064"/>
  <c r="N20" i="48063"/>
  <c r="C17" i="48065"/>
  <c r="F17" i="48065" s="1"/>
  <c r="C17" i="48064"/>
  <c r="C17" i="48063"/>
  <c r="F22" i="48065"/>
  <c r="E22" i="48065"/>
  <c r="H22" i="48065"/>
  <c r="S56" i="48065"/>
  <c r="F22" i="48063"/>
  <c r="L22" i="48063"/>
  <c r="M22" i="48063" s="1"/>
  <c r="Q23" i="48042"/>
  <c r="P24" i="48042"/>
  <c r="Q24" i="48042"/>
  <c r="E19" i="48042"/>
  <c r="G19" i="48042"/>
  <c r="F19" i="48042"/>
  <c r="H19" i="48042"/>
  <c r="G59" i="48076"/>
  <c r="F59" i="48076"/>
  <c r="E59" i="48076"/>
  <c r="T24" i="48042"/>
  <c r="U24" i="48042" s="1"/>
  <c r="U52" i="48042"/>
  <c r="X52" i="48042"/>
  <c r="AA52" i="48042"/>
  <c r="AD52" i="48042"/>
  <c r="Q23" i="48063"/>
  <c r="G58" i="48063"/>
  <c r="F58" i="48063"/>
  <c r="K58" i="48063"/>
  <c r="E58" i="48063"/>
  <c r="C60" i="48063"/>
  <c r="G60" i="48063"/>
  <c r="F60" i="48063" s="1"/>
  <c r="H51" i="48063"/>
  <c r="H22" i="48064"/>
  <c r="G22" i="48064"/>
  <c r="F22" i="48064" s="1"/>
  <c r="E22" i="48064"/>
  <c r="K22" i="48064"/>
  <c r="Y51" i="48065"/>
  <c r="X60" i="48065"/>
  <c r="T23" i="48075"/>
  <c r="T23" i="48042"/>
  <c r="U23" i="48042"/>
  <c r="S19" i="48064"/>
  <c r="U19" i="48064"/>
  <c r="W19" i="48042"/>
  <c r="Y19" i="48042"/>
  <c r="S19" i="48063"/>
  <c r="U19" i="48063"/>
  <c r="W19" i="48075"/>
  <c r="R11" i="48060"/>
  <c r="S11" i="48060" s="1"/>
  <c r="AA52" i="48074"/>
  <c r="AD52" i="48074"/>
  <c r="AC52" i="48074"/>
  <c r="W58" i="48074"/>
  <c r="U58" i="48074"/>
  <c r="S19" i="48065"/>
  <c r="U19" i="48065"/>
  <c r="T23" i="48074"/>
  <c r="U23" i="48074"/>
  <c r="R23" i="48074"/>
  <c r="U54" i="48042"/>
  <c r="E33" i="48060"/>
  <c r="M59" i="48064"/>
  <c r="Q53" i="48064"/>
  <c r="M22" i="48064"/>
  <c r="E33" i="48057"/>
  <c r="V23" i="48042"/>
  <c r="V24" i="48042"/>
  <c r="X55" i="48074"/>
  <c r="Q51" i="48063"/>
  <c r="T54" i="48065"/>
  <c r="T60" i="48074"/>
  <c r="W60" i="48074" s="1"/>
  <c r="G51" i="48063"/>
  <c r="F51" i="48063" s="1"/>
  <c r="Z60" i="48074"/>
  <c r="N49" i="48064"/>
  <c r="H54" i="48064"/>
  <c r="E51" i="48063"/>
  <c r="Q58" i="48064"/>
  <c r="P60" i="48064"/>
  <c r="N55" i="48063"/>
  <c r="R60" i="48042"/>
  <c r="E54" i="48065"/>
  <c r="R33" i="48057"/>
  <c r="S33" i="48057" s="1"/>
  <c r="C34" i="48058"/>
  <c r="S60" i="48042"/>
  <c r="U60" i="48042" s="1"/>
  <c r="AD58" i="48042"/>
  <c r="AA58" i="48042"/>
  <c r="AD51" i="48042"/>
  <c r="Y60" i="48042"/>
  <c r="AA60" i="48042" s="1"/>
  <c r="Y55" i="48063"/>
  <c r="Z56" i="48065"/>
  <c r="Z60" i="48065" s="1"/>
  <c r="U60" i="48065"/>
  <c r="W60" i="48065" s="1"/>
  <c r="AA17" i="48079"/>
  <c r="W17" i="48075"/>
  <c r="AA17" i="48078"/>
  <c r="AA24" i="48078" s="1"/>
  <c r="AC24" i="48078" s="1"/>
  <c r="S17" i="48063"/>
  <c r="W17" i="48042"/>
  <c r="W17" i="48074"/>
  <c r="R3" i="48060"/>
  <c r="S3" i="48060" s="1"/>
  <c r="O33" i="48060"/>
  <c r="K33" i="48060"/>
  <c r="S18" i="48064"/>
  <c r="U18" i="48064" s="1"/>
  <c r="G33" i="48060"/>
  <c r="S18" i="48063"/>
  <c r="U18" i="48063"/>
  <c r="Y60" i="48065"/>
  <c r="W58" i="48065"/>
  <c r="Y58" i="48065"/>
  <c r="L49" i="48065"/>
  <c r="N49" i="48065" s="1"/>
  <c r="N60" i="48065" s="1"/>
  <c r="D60" i="48065"/>
  <c r="H49" i="48065"/>
  <c r="F49" i="48065"/>
  <c r="E53" i="48065"/>
  <c r="F53" i="48065"/>
  <c r="E56" i="48042"/>
  <c r="H56" i="48042"/>
  <c r="E17" i="48074"/>
  <c r="C24" i="48074"/>
  <c r="G24" i="48074"/>
  <c r="H17" i="48074"/>
  <c r="G19" i="48074"/>
  <c r="F19" i="48074"/>
  <c r="H19" i="48074"/>
  <c r="E19" i="48074"/>
  <c r="Y60" i="48074"/>
  <c r="AD50" i="48074"/>
  <c r="X54" i="48074"/>
  <c r="U54" i="48074"/>
  <c r="H58" i="48074"/>
  <c r="C60" i="48074"/>
  <c r="D20" i="48075"/>
  <c r="F20" i="48075" s="1"/>
  <c r="M20" i="48075"/>
  <c r="L24" i="48075"/>
  <c r="M24" i="48075"/>
  <c r="AC55" i="48042"/>
  <c r="M54" i="48063"/>
  <c r="H23" i="48063"/>
  <c r="Q20" i="48063"/>
  <c r="H53" i="48063"/>
  <c r="K53" i="48063"/>
  <c r="K60" i="48063" s="1"/>
  <c r="M60" i="48063" s="1"/>
  <c r="G53" i="48063"/>
  <c r="F53" i="48063"/>
  <c r="T56" i="48065"/>
  <c r="Q56" i="48065"/>
  <c r="V19" i="48079"/>
  <c r="V19" i="48078"/>
  <c r="R19" i="48075"/>
  <c r="R19" i="48074"/>
  <c r="R24" i="48074" s="1"/>
  <c r="N19" i="48065"/>
  <c r="N19" i="48063"/>
  <c r="N24" i="48063" s="1"/>
  <c r="X18" i="48079"/>
  <c r="T18" i="48076"/>
  <c r="U18" i="48076"/>
  <c r="X18" i="48078"/>
  <c r="P18" i="48063"/>
  <c r="P18" i="48064"/>
  <c r="W19" i="48079"/>
  <c r="W19" i="48078"/>
  <c r="S19" i="48075"/>
  <c r="W20" i="48079"/>
  <c r="Y20" i="48079" s="1"/>
  <c r="W20" i="48078"/>
  <c r="S20" i="48075"/>
  <c r="O20" i="48064"/>
  <c r="O24" i="48064" s="1"/>
  <c r="S20" i="48042"/>
  <c r="U20" i="48042"/>
  <c r="S22" i="48064"/>
  <c r="U22" i="48064" s="1"/>
  <c r="D60" i="48042"/>
  <c r="E60" i="48042"/>
  <c r="E50" i="48042"/>
  <c r="E55" i="48074"/>
  <c r="G55" i="48074"/>
  <c r="F55" i="48074"/>
  <c r="S18" i="48074"/>
  <c r="U18" i="48074" s="1"/>
  <c r="W49" i="48074"/>
  <c r="U53" i="48074"/>
  <c r="X53" i="48074"/>
  <c r="X60" i="48074" s="1"/>
  <c r="U18" i="48042"/>
  <c r="Z50" i="48063"/>
  <c r="Z60" i="48063"/>
  <c r="T56" i="48064"/>
  <c r="X60" i="48064"/>
  <c r="Y60" i="48064"/>
  <c r="W53" i="48065"/>
  <c r="Z53" i="48065"/>
  <c r="R23" i="48064"/>
  <c r="V22" i="48079"/>
  <c r="V22" i="48078"/>
  <c r="R22" i="48075"/>
  <c r="R22" i="48074"/>
  <c r="N22" i="48065"/>
  <c r="N24" i="48065" s="1"/>
  <c r="N22" i="48063"/>
  <c r="R22" i="48076"/>
  <c r="N22" i="48064"/>
  <c r="N24" i="48064"/>
  <c r="R22" i="48042"/>
  <c r="C18" i="48065"/>
  <c r="E18" i="48065" s="1"/>
  <c r="F18" i="48065"/>
  <c r="C18" i="48063"/>
  <c r="E18" i="48063" s="1"/>
  <c r="U20" i="48063"/>
  <c r="AA21" i="48079"/>
  <c r="AA21" i="48078"/>
  <c r="AC21" i="48078" s="1"/>
  <c r="W21" i="48075"/>
  <c r="Y52" i="48065"/>
  <c r="G54" i="48074"/>
  <c r="F54" i="48074"/>
  <c r="H54" i="48074"/>
  <c r="X58" i="48074"/>
  <c r="AC55" i="48074"/>
  <c r="AA55" i="48074"/>
  <c r="E23" i="48075"/>
  <c r="F23" i="48075"/>
  <c r="V60" i="48075"/>
  <c r="W60" i="48075"/>
  <c r="H53" i="48075"/>
  <c r="R60" i="48075"/>
  <c r="W49" i="48075"/>
  <c r="R19" i="48076"/>
  <c r="H49" i="48076"/>
  <c r="G49" i="48076"/>
  <c r="F49" i="48076"/>
  <c r="H50" i="48076"/>
  <c r="G50" i="48076"/>
  <c r="F50" i="48076"/>
  <c r="AC50" i="48076"/>
  <c r="AB60" i="48076"/>
  <c r="AC60" i="48076" s="1"/>
  <c r="U52" i="48076"/>
  <c r="X52" i="48076"/>
  <c r="U53" i="48076"/>
  <c r="X53" i="48076"/>
  <c r="AA55" i="48076"/>
  <c r="AD55" i="48076"/>
  <c r="H49" i="48079"/>
  <c r="C60" i="48079"/>
  <c r="G60" i="48079"/>
  <c r="F60" i="48079"/>
  <c r="AH56" i="48079"/>
  <c r="AH60" i="48079" s="1"/>
  <c r="AE56" i="48079"/>
  <c r="G49" i="48079"/>
  <c r="F49" i="48079"/>
  <c r="H56" i="48063"/>
  <c r="S57" i="48064"/>
  <c r="T23" i="48076"/>
  <c r="U23" i="48076"/>
  <c r="P22" i="48065"/>
  <c r="V21" i="48078"/>
  <c r="V21" i="48079"/>
  <c r="Z20" i="48078"/>
  <c r="R20" i="48065"/>
  <c r="V20" i="48076"/>
  <c r="T18" i="48065"/>
  <c r="T24" i="48065"/>
  <c r="V17" i="48078"/>
  <c r="R17" i="48076"/>
  <c r="R32" i="48060"/>
  <c r="S32" i="48060" s="1"/>
  <c r="AA23" i="48079"/>
  <c r="AC23" i="48079"/>
  <c r="AA23" i="48078"/>
  <c r="AC23" i="48078" s="1"/>
  <c r="W23" i="48075"/>
  <c r="D22" i="48042"/>
  <c r="F22" i="48042" s="1"/>
  <c r="F24" i="48042" s="1"/>
  <c r="M19" i="48042"/>
  <c r="G57" i="48074"/>
  <c r="F57" i="48074"/>
  <c r="Y60" i="48075"/>
  <c r="AA60" i="48075"/>
  <c r="U49" i="48076"/>
  <c r="X49" i="48076"/>
  <c r="AD52" i="48076"/>
  <c r="V17" i="48079"/>
  <c r="Z23" i="48079"/>
  <c r="V23" i="48076"/>
  <c r="V23" i="48075"/>
  <c r="V21" i="48076"/>
  <c r="Z21" i="48079"/>
  <c r="Z21" i="48078"/>
  <c r="V21" i="48075"/>
  <c r="V21" i="48074"/>
  <c r="R21" i="48065"/>
  <c r="AB18" i="48079"/>
  <c r="AC18" i="48079" s="1"/>
  <c r="AB18" i="48078"/>
  <c r="X18" i="48076"/>
  <c r="Y18" i="48076"/>
  <c r="Z17" i="48079"/>
  <c r="Z17" i="48078"/>
  <c r="Z24" i="48078" s="1"/>
  <c r="V17" i="48076"/>
  <c r="V17" i="48075"/>
  <c r="C23" i="48064"/>
  <c r="C24" i="48064" s="1"/>
  <c r="W18" i="48078"/>
  <c r="Y18" i="48078" s="1"/>
  <c r="W18" i="48079"/>
  <c r="O21" i="48065"/>
  <c r="Q21" i="48065"/>
  <c r="O17" i="48065"/>
  <c r="AA20" i="48079"/>
  <c r="AC20" i="48079"/>
  <c r="AA20" i="48078"/>
  <c r="AC20" i="48078" s="1"/>
  <c r="W20" i="48075"/>
  <c r="Q60" i="48042"/>
  <c r="T22" i="48074"/>
  <c r="U22" i="48074" s="1"/>
  <c r="AA50" i="48074"/>
  <c r="AC57" i="48074"/>
  <c r="AD57" i="48074"/>
  <c r="AD60" i="48074" s="1"/>
  <c r="N18" i="48075"/>
  <c r="N24" i="48075"/>
  <c r="E18" i="48075"/>
  <c r="AC50" i="48075"/>
  <c r="V60" i="48076"/>
  <c r="W60" i="48076" s="1"/>
  <c r="W49" i="48076"/>
  <c r="Z23" i="48078"/>
  <c r="AA57" i="48078"/>
  <c r="Y57" i="48078"/>
  <c r="W21" i="48079"/>
  <c r="X23" i="48076"/>
  <c r="Y23" i="48076" s="1"/>
  <c r="AB23" i="48078"/>
  <c r="X23" i="48075"/>
  <c r="Y23" i="48075" s="1"/>
  <c r="AB22" i="48078"/>
  <c r="AC22" i="48078" s="1"/>
  <c r="AB22" i="48079"/>
  <c r="X22" i="48076"/>
  <c r="Y22" i="48076"/>
  <c r="AB21" i="48079"/>
  <c r="AC21" i="48079" s="1"/>
  <c r="AB21" i="48078"/>
  <c r="T21" i="48074"/>
  <c r="U21" i="48074" s="1"/>
  <c r="R18" i="48065"/>
  <c r="R24" i="48065" s="1"/>
  <c r="T17" i="48074"/>
  <c r="W21" i="48078"/>
  <c r="S21" i="48075"/>
  <c r="W17" i="48079"/>
  <c r="Y17" i="48079" s="1"/>
  <c r="W17" i="48078"/>
  <c r="S17" i="48075"/>
  <c r="AA18" i="48078"/>
  <c r="AC18" i="48078"/>
  <c r="AA18" i="48079"/>
  <c r="W18" i="48075"/>
  <c r="Y18" i="48075"/>
  <c r="AA19" i="48078"/>
  <c r="AC19" i="48078" s="1"/>
  <c r="AA19" i="48079"/>
  <c r="W22" i="48075"/>
  <c r="X22" i="48074"/>
  <c r="T17" i="48075"/>
  <c r="X20" i="48075"/>
  <c r="Y20" i="48075" s="1"/>
  <c r="T21" i="48075"/>
  <c r="G49" i="48075"/>
  <c r="F49" i="48075"/>
  <c r="C60" i="48075"/>
  <c r="E60" i="48075" s="1"/>
  <c r="F59" i="48075"/>
  <c r="AC54" i="48075"/>
  <c r="E17" i="48076"/>
  <c r="E54" i="48076"/>
  <c r="G55" i="48076"/>
  <c r="F55" i="48076"/>
  <c r="E55" i="48076"/>
  <c r="AE54" i="48078"/>
  <c r="AG54" i="48078"/>
  <c r="AE56" i="48078"/>
  <c r="AG56" i="48078"/>
  <c r="Z22" i="48079"/>
  <c r="Z22" i="48078"/>
  <c r="X21" i="48078"/>
  <c r="Y21" i="48078" s="1"/>
  <c r="X21" i="48079"/>
  <c r="Y21" i="48079" s="1"/>
  <c r="X20" i="48079"/>
  <c r="X20" i="48078"/>
  <c r="T20" i="48076"/>
  <c r="U20" i="48076"/>
  <c r="AB19" i="48079"/>
  <c r="AC19" i="48079" s="1"/>
  <c r="X19" i="48076"/>
  <c r="Y19" i="48076"/>
  <c r="X19" i="48078"/>
  <c r="Y19" i="48078" s="1"/>
  <c r="T19" i="48076"/>
  <c r="U19" i="48076" s="1"/>
  <c r="Z18" i="48079"/>
  <c r="Z18" i="48078"/>
  <c r="V18" i="48076"/>
  <c r="V18" i="48079"/>
  <c r="R18" i="48076"/>
  <c r="AB17" i="48078"/>
  <c r="AB17" i="48079"/>
  <c r="AB24" i="48079" s="1"/>
  <c r="W22" i="48079"/>
  <c r="Y22" i="48079"/>
  <c r="W22" i="48078"/>
  <c r="Y22" i="48078" s="1"/>
  <c r="W23" i="48078"/>
  <c r="Y23" i="48078"/>
  <c r="T19" i="48074"/>
  <c r="U19" i="48074" s="1"/>
  <c r="X19" i="48075"/>
  <c r="E52" i="48075"/>
  <c r="S22" i="48075"/>
  <c r="U22" i="48075" s="1"/>
  <c r="W51" i="48075"/>
  <c r="X20" i="48076"/>
  <c r="Y20" i="48076"/>
  <c r="X21" i="48076"/>
  <c r="Y21" i="48076"/>
  <c r="AA53" i="48076"/>
  <c r="AD53" i="48076"/>
  <c r="H55" i="48076"/>
  <c r="AD57" i="48076"/>
  <c r="AA57" i="48076"/>
  <c r="AB20" i="48078"/>
  <c r="AA22" i="48078"/>
  <c r="AB23" i="48079"/>
  <c r="Z60" i="48079"/>
  <c r="AA60" i="48079"/>
  <c r="G50" i="48079"/>
  <c r="F50" i="48079"/>
  <c r="H50" i="48079"/>
  <c r="AA22" i="48079"/>
  <c r="AC22" i="48079" s="1"/>
  <c r="AG52" i="48079"/>
  <c r="AE52" i="48079"/>
  <c r="AA59" i="48076"/>
  <c r="AD59" i="48076"/>
  <c r="AC60" i="48078"/>
  <c r="AE60" i="48078"/>
  <c r="AH49" i="48078"/>
  <c r="AH60" i="48078" s="1"/>
  <c r="AH50" i="48078"/>
  <c r="AB53" i="48078"/>
  <c r="AH58" i="48078"/>
  <c r="AB59" i="48078"/>
  <c r="G52" i="48079"/>
  <c r="F52" i="48079"/>
  <c r="H52" i="48079"/>
  <c r="AB52" i="48079"/>
  <c r="H57" i="48079"/>
  <c r="AB59" i="48079"/>
  <c r="G59" i="48079"/>
  <c r="F59" i="48079" s="1"/>
  <c r="O24" i="48079"/>
  <c r="Q24" i="48079"/>
  <c r="AD60" i="48079"/>
  <c r="AG60" i="48079" s="1"/>
  <c r="AG50" i="48078"/>
  <c r="AE50" i="48078"/>
  <c r="AA53" i="48078"/>
  <c r="Y53" i="48078"/>
  <c r="AB57" i="48078"/>
  <c r="AE58" i="48078"/>
  <c r="AG58" i="48078"/>
  <c r="Y59" i="48078"/>
  <c r="AA59" i="48078"/>
  <c r="H23" i="48078"/>
  <c r="R60" i="48079"/>
  <c r="W60" i="48079"/>
  <c r="Y60" i="48079" s="1"/>
  <c r="AB49" i="48079"/>
  <c r="G54" i="48079"/>
  <c r="F54" i="48079"/>
  <c r="H54" i="48079"/>
  <c r="M19" i="48079"/>
  <c r="D19" i="48079"/>
  <c r="D24" i="48079" s="1"/>
  <c r="E24" i="48079" s="1"/>
  <c r="AE50" i="48079"/>
  <c r="AE54" i="48079"/>
  <c r="AE57" i="48079"/>
  <c r="AE60" i="48080"/>
  <c r="E24" i="48080"/>
  <c r="E60" i="48080"/>
  <c r="D24" i="48075"/>
  <c r="E24" i="48075"/>
  <c r="S60" i="48064"/>
  <c r="Q60" i="48064"/>
  <c r="AB24" i="48078"/>
  <c r="Q17" i="48065"/>
  <c r="O24" i="48065"/>
  <c r="Q24" i="48065" s="1"/>
  <c r="U17" i="48063"/>
  <c r="S24" i="48063"/>
  <c r="U24" i="48063" s="1"/>
  <c r="V24" i="48079"/>
  <c r="F35" i="48060"/>
  <c r="AD60" i="48042"/>
  <c r="Y19" i="48075"/>
  <c r="M58" i="48063"/>
  <c r="N58" i="48063"/>
  <c r="G17" i="48063"/>
  <c r="F17" i="48063"/>
  <c r="K17" i="48063"/>
  <c r="H17" i="48063"/>
  <c r="W60" i="48042"/>
  <c r="F60" i="48065"/>
  <c r="E17" i="48063"/>
  <c r="F60" i="48042"/>
  <c r="U17" i="48075"/>
  <c r="Y20" i="48078"/>
  <c r="X24" i="48078"/>
  <c r="W24" i="48042"/>
  <c r="Y24" i="48042"/>
  <c r="Y17" i="48042"/>
  <c r="K17" i="48065"/>
  <c r="M17" i="48065" s="1"/>
  <c r="E17" i="48065"/>
  <c r="D24" i="48074"/>
  <c r="E24" i="48074"/>
  <c r="F20" i="48074"/>
  <c r="E20" i="48074"/>
  <c r="E60" i="48064"/>
  <c r="Y22" i="48074"/>
  <c r="Y17" i="48078"/>
  <c r="K23" i="48064"/>
  <c r="M23" i="48064" s="1"/>
  <c r="H23" i="48064"/>
  <c r="G23" i="48064"/>
  <c r="F23" i="48064" s="1"/>
  <c r="H18" i="48063"/>
  <c r="G60" i="48074"/>
  <c r="F60" i="48074"/>
  <c r="E60" i="48074"/>
  <c r="U60" i="48074"/>
  <c r="W60" i="48063"/>
  <c r="AB60" i="48078"/>
  <c r="E22" i="48042"/>
  <c r="D24" i="48042"/>
  <c r="E24" i="48042" s="1"/>
  <c r="K18" i="48065"/>
  <c r="M18" i="48065"/>
  <c r="H18" i="48065"/>
  <c r="E19" i="48079"/>
  <c r="H19" i="48079"/>
  <c r="AB60" i="48079"/>
  <c r="U21" i="48075"/>
  <c r="Y18" i="48079"/>
  <c r="AD60" i="48076"/>
  <c r="Q22" i="48065"/>
  <c r="P24" i="48065"/>
  <c r="P24" i="48063"/>
  <c r="Q18" i="48063"/>
  <c r="H20" i="48074"/>
  <c r="Y17" i="48074"/>
  <c r="W24" i="48074"/>
  <c r="AC60" i="48074"/>
  <c r="AA60" i="48074"/>
  <c r="E60" i="48063"/>
  <c r="G17" i="48064"/>
  <c r="F17" i="48064"/>
  <c r="H17" i="48064"/>
  <c r="E17" i="48064"/>
  <c r="K17" i="48064"/>
  <c r="Q60" i="48063"/>
  <c r="S60" i="48063"/>
  <c r="N54" i="48064"/>
  <c r="K60" i="48064"/>
  <c r="S24" i="48042"/>
  <c r="H23" i="48074"/>
  <c r="F23" i="48074"/>
  <c r="F24" i="48074" s="1"/>
  <c r="E23" i="48074"/>
  <c r="M54" i="48065"/>
  <c r="N54" i="48065"/>
  <c r="K60" i="48065"/>
  <c r="Q18" i="48064"/>
  <c r="E60" i="48079"/>
  <c r="M17" i="48063"/>
  <c r="U18" i="48065"/>
  <c r="K24" i="48064"/>
  <c r="V60" i="48081"/>
  <c r="H57" i="48081"/>
  <c r="H55" i="48081"/>
  <c r="N60" i="48081"/>
  <c r="Q23" i="48081"/>
  <c r="F51" i="48081"/>
  <c r="F53" i="48081"/>
  <c r="F55" i="48081"/>
  <c r="F57" i="48081"/>
  <c r="F59" i="48081"/>
  <c r="AF60" i="48081"/>
  <c r="AG49" i="48081"/>
  <c r="E21" i="48081"/>
  <c r="E22" i="48081"/>
  <c r="M24" i="48081"/>
  <c r="E49" i="48081"/>
  <c r="D60" i="48081"/>
  <c r="E60" i="48081" s="1"/>
  <c r="Q60" i="48081"/>
  <c r="C24" i="48081"/>
  <c r="G24" i="48081" s="1"/>
  <c r="F19" i="48081"/>
  <c r="D20" i="48081"/>
  <c r="M20" i="48081"/>
  <c r="H22" i="48081"/>
  <c r="T24" i="48081"/>
  <c r="U24" i="48081"/>
  <c r="R60" i="48081"/>
  <c r="AA49" i="48081"/>
  <c r="X60" i="48081"/>
  <c r="AC60" i="48081"/>
  <c r="AE60" i="48081"/>
  <c r="AH49" i="48081"/>
  <c r="F17" i="48081"/>
  <c r="E17" i="48081"/>
  <c r="F18" i="48081"/>
  <c r="E18" i="48081"/>
  <c r="E23" i="48081"/>
  <c r="Q24" i="48081"/>
  <c r="AG60" i="48081"/>
  <c r="AA50" i="48081"/>
  <c r="Y50" i="48081"/>
  <c r="AA51" i="48081"/>
  <c r="Y51" i="48081"/>
  <c r="AA52" i="48081"/>
  <c r="Y52" i="48081"/>
  <c r="AA53" i="48081"/>
  <c r="Y53" i="48081"/>
  <c r="AA54" i="48081"/>
  <c r="Y54" i="48081"/>
  <c r="AA55" i="48081"/>
  <c r="Y55" i="48081"/>
  <c r="AA56" i="48081"/>
  <c r="Y56" i="48081"/>
  <c r="AA57" i="48081"/>
  <c r="Y57" i="48081"/>
  <c r="AA58" i="48081"/>
  <c r="Y58" i="48081"/>
  <c r="AA59" i="48081"/>
  <c r="Y59" i="48081"/>
  <c r="F49" i="48081"/>
  <c r="AE49" i="48081"/>
  <c r="E20" i="48081"/>
  <c r="F20" i="48081"/>
  <c r="Y60" i="48081"/>
  <c r="AA60" i="48081"/>
  <c r="F24" i="48081"/>
  <c r="D24" i="48081"/>
  <c r="AK60" i="48082" l="1"/>
  <c r="AE60" i="48082"/>
  <c r="T24" i="48082"/>
  <c r="E60" i="48082"/>
  <c r="E23" i="48082"/>
  <c r="F23" i="48082"/>
  <c r="F24" i="48082" s="1"/>
  <c r="D24" i="48082"/>
  <c r="E24" i="48082" s="1"/>
  <c r="AB24" i="48082"/>
  <c r="AD60" i="48082"/>
  <c r="AB60" i="48082"/>
  <c r="F24" i="48064"/>
  <c r="E24" i="48064"/>
  <c r="G24" i="48064"/>
  <c r="L24" i="48063"/>
  <c r="AA24" i="48079"/>
  <c r="AC24" i="48079" s="1"/>
  <c r="G60" i="48075"/>
  <c r="F60" i="48075" s="1"/>
  <c r="M17" i="48064"/>
  <c r="F19" i="48079"/>
  <c r="H22" i="48042"/>
  <c r="L60" i="48065"/>
  <c r="M60" i="48065" s="1"/>
  <c r="K18" i="48063"/>
  <c r="E23" i="48064"/>
  <c r="C24" i="48065"/>
  <c r="E24" i="48065" s="1"/>
  <c r="S24" i="48064"/>
  <c r="U24" i="48064" s="1"/>
  <c r="C24" i="48063"/>
  <c r="AC17" i="48078"/>
  <c r="P24" i="48064"/>
  <c r="Q24" i="48064" s="1"/>
  <c r="M53" i="48063"/>
  <c r="AC17" i="48079"/>
  <c r="E20" i="48075"/>
  <c r="N53" i="48063"/>
  <c r="AE60" i="48079"/>
  <c r="H19" i="48065"/>
  <c r="E19" i="48065"/>
  <c r="F19" i="48065"/>
  <c r="F24" i="48065" s="1"/>
  <c r="K19" i="48065"/>
  <c r="M19" i="48065" s="1"/>
  <c r="S24" i="48075"/>
  <c r="E24" i="48081"/>
  <c r="F60" i="48081"/>
  <c r="W24" i="48075"/>
  <c r="M49" i="48065"/>
  <c r="G18" i="48063"/>
  <c r="F18" i="48063" s="1"/>
  <c r="F24" i="48063" s="1"/>
  <c r="W24" i="48078"/>
  <c r="Y24" i="48078" s="1"/>
  <c r="H17" i="48065"/>
  <c r="H20" i="48075"/>
  <c r="Q20" i="48064"/>
  <c r="M59" i="48063"/>
  <c r="N59" i="48063"/>
  <c r="E20" i="48065"/>
  <c r="F20" i="48065"/>
  <c r="F19" i="48080"/>
  <c r="F24" i="48080" s="1"/>
  <c r="M59" i="48065"/>
  <c r="X59" i="48042"/>
  <c r="X60" i="48042" s="1"/>
  <c r="G59" i="48063"/>
  <c r="F59" i="48063" s="1"/>
  <c r="E54" i="48063"/>
  <c r="AB23" i="48080"/>
  <c r="AB23" i="48081"/>
  <c r="Z23" i="48081"/>
  <c r="Z23" i="48080"/>
  <c r="Z22" i="48081"/>
  <c r="Z22" i="48080"/>
  <c r="V22" i="48076"/>
  <c r="V24" i="48076" s="1"/>
  <c r="V22" i="48080"/>
  <c r="V22" i="48081"/>
  <c r="V21" i="48080"/>
  <c r="V21" i="48081"/>
  <c r="R21" i="48075"/>
  <c r="R21" i="48076"/>
  <c r="R24" i="48076" s="1"/>
  <c r="V20" i="48081"/>
  <c r="V20" i="48080"/>
  <c r="Z19" i="48081"/>
  <c r="Z19" i="48080"/>
  <c r="Z18" i="48081"/>
  <c r="Z18" i="48080"/>
  <c r="V18" i="48074"/>
  <c r="V24" i="48074" s="1"/>
  <c r="V18" i="48081"/>
  <c r="V18" i="48080"/>
  <c r="R18" i="48075"/>
  <c r="V18" i="48078"/>
  <c r="V24" i="48078" s="1"/>
  <c r="AB17" i="48081"/>
  <c r="AB17" i="48080"/>
  <c r="X17" i="48076"/>
  <c r="X17" i="48075"/>
  <c r="W22" i="48081"/>
  <c r="Y22" i="48081" s="1"/>
  <c r="W22" i="48080"/>
  <c r="Y22" i="48080" s="1"/>
  <c r="Y19" i="48074"/>
  <c r="F18" i="48075"/>
  <c r="F24" i="48075" s="1"/>
  <c r="Z20" i="48080"/>
  <c r="Z20" i="48081"/>
  <c r="V20" i="48075"/>
  <c r="V24" i="48075" s="1"/>
  <c r="Z20" i="48079"/>
  <c r="Z24" i="48079" s="1"/>
  <c r="X18" i="48081"/>
  <c r="X18" i="48080"/>
  <c r="T18" i="48075"/>
  <c r="Z17" i="48080"/>
  <c r="Z17" i="48081"/>
  <c r="V17" i="48081"/>
  <c r="V17" i="48080"/>
  <c r="R17" i="48075"/>
  <c r="R24" i="48075" s="1"/>
  <c r="W23" i="48081"/>
  <c r="Y23" i="48081" s="1"/>
  <c r="W23" i="48080"/>
  <c r="Y23" i="48080" s="1"/>
  <c r="W23" i="48079"/>
  <c r="Y23" i="48079" s="1"/>
  <c r="N57" i="48064"/>
  <c r="N60" i="48064" s="1"/>
  <c r="X60" i="48063"/>
  <c r="Y60" i="48063" s="1"/>
  <c r="Z55" i="48064"/>
  <c r="Z60" i="48064" s="1"/>
  <c r="X23" i="48074"/>
  <c r="AB22" i="48080"/>
  <c r="AB22" i="48081"/>
  <c r="X22" i="48075"/>
  <c r="Y22" i="48075" s="1"/>
  <c r="T22" i="48076"/>
  <c r="AB21" i="48081"/>
  <c r="AB21" i="48080"/>
  <c r="X21" i="48075"/>
  <c r="Y21" i="48075" s="1"/>
  <c r="X19" i="48080"/>
  <c r="X19" i="48081"/>
  <c r="X19" i="48079"/>
  <c r="T19" i="48075"/>
  <c r="U19" i="48075" s="1"/>
  <c r="AB18" i="48080"/>
  <c r="AB18" i="48081"/>
  <c r="W18" i="48080"/>
  <c r="Y18" i="48080" s="1"/>
  <c r="W18" i="48081"/>
  <c r="Y18" i="48081" s="1"/>
  <c r="M23" i="48063"/>
  <c r="V23" i="48081"/>
  <c r="V23" i="48080"/>
  <c r="Z21" i="48080"/>
  <c r="Z21" i="48081"/>
  <c r="X21" i="48081"/>
  <c r="X21" i="48080"/>
  <c r="AB20" i="48081"/>
  <c r="AB20" i="48080"/>
  <c r="X20" i="48081"/>
  <c r="X20" i="48080"/>
  <c r="T20" i="48075"/>
  <c r="U20" i="48075" s="1"/>
  <c r="T20" i="48074"/>
  <c r="U20" i="48074" s="1"/>
  <c r="AB19" i="48080"/>
  <c r="AB19" i="48081"/>
  <c r="V19" i="48080"/>
  <c r="V19" i="48081"/>
  <c r="W19" i="48080"/>
  <c r="Y19" i="48080" s="1"/>
  <c r="W19" i="48081"/>
  <c r="Y19" i="48081" s="1"/>
  <c r="W20" i="48081"/>
  <c r="Y20" i="48081" s="1"/>
  <c r="W20" i="48080"/>
  <c r="W21" i="48081"/>
  <c r="Y21" i="48081" s="1"/>
  <c r="W21" i="48080"/>
  <c r="Y21" i="48080" s="1"/>
  <c r="AA18" i="48080"/>
  <c r="AC18" i="48080" s="1"/>
  <c r="AA18" i="48081"/>
  <c r="AC18" i="48081" s="1"/>
  <c r="L24" i="48042"/>
  <c r="M24" i="48042" s="1"/>
  <c r="Q23" i="48074"/>
  <c r="G52" i="48074"/>
  <c r="F52" i="48074" s="1"/>
  <c r="M19" i="48074"/>
  <c r="G21" i="48075"/>
  <c r="F21" i="48075" s="1"/>
  <c r="M23" i="48075"/>
  <c r="N18" i="48074"/>
  <c r="N24" i="48074" s="1"/>
  <c r="H51" i="48076"/>
  <c r="X54" i="48076"/>
  <c r="H57" i="48076"/>
  <c r="U57" i="48076"/>
  <c r="G58" i="48076"/>
  <c r="F58" i="48076" s="1"/>
  <c r="Y51" i="48078"/>
  <c r="AG52" i="48078"/>
  <c r="Y55" i="48078"/>
  <c r="H17" i="48079"/>
  <c r="G18" i="48079"/>
  <c r="F18" i="48079" s="1"/>
  <c r="F24" i="48079" s="1"/>
  <c r="W17" i="48080"/>
  <c r="W17" i="48081"/>
  <c r="S17" i="48065"/>
  <c r="AA17" i="48081"/>
  <c r="AA17" i="48080"/>
  <c r="AA20" i="48081"/>
  <c r="AC20" i="48081" s="1"/>
  <c r="AA20" i="48080"/>
  <c r="AC20" i="48080" s="1"/>
  <c r="S17" i="48074"/>
  <c r="AA21" i="48081"/>
  <c r="AC21" i="48081" s="1"/>
  <c r="AA21" i="48080"/>
  <c r="AC21" i="48080" s="1"/>
  <c r="AA22" i="48080"/>
  <c r="AC22" i="48080" s="1"/>
  <c r="AA22" i="48081"/>
  <c r="AC22" i="48081" s="1"/>
  <c r="AA23" i="48080"/>
  <c r="AC23" i="48080" s="1"/>
  <c r="AA23" i="48081"/>
  <c r="AC23" i="48081" s="1"/>
  <c r="AC49" i="48074"/>
  <c r="X56" i="48076"/>
  <c r="M23" i="48078"/>
  <c r="H51" i="48079"/>
  <c r="AA19" i="48080"/>
  <c r="AC19" i="48080" s="1"/>
  <c r="AA19" i="48081"/>
  <c r="AC19" i="48081" s="1"/>
  <c r="G56" i="48079"/>
  <c r="F56" i="48079" s="1"/>
  <c r="E57" i="48079"/>
  <c r="AE58" i="48079"/>
  <c r="AH51" i="48080"/>
  <c r="AH60" i="48080" s="1"/>
  <c r="AE52" i="48080"/>
  <c r="AE55" i="48080"/>
  <c r="AH56" i="48080"/>
  <c r="H49" i="48081"/>
  <c r="AB49" i="48081"/>
  <c r="AB60" i="48081" s="1"/>
  <c r="H50" i="48081"/>
  <c r="E51" i="48081"/>
  <c r="E54" i="48081"/>
  <c r="E56" i="48081"/>
  <c r="E58" i="48081"/>
  <c r="AB50" i="48080"/>
  <c r="E52" i="48080"/>
  <c r="AB52" i="48080"/>
  <c r="AB54" i="48080"/>
  <c r="AB58" i="48080"/>
  <c r="H59" i="48080"/>
  <c r="G59" i="48080"/>
  <c r="F59" i="48080" s="1"/>
  <c r="R18" i="48081"/>
  <c r="R24" i="48081" s="1"/>
  <c r="Y49" i="48081"/>
  <c r="H52" i="48081"/>
  <c r="E53" i="48081"/>
  <c r="AH53" i="48081"/>
  <c r="AH60" i="48081" s="1"/>
  <c r="AH55" i="48081"/>
  <c r="AH57" i="48081"/>
  <c r="G54" i="48081"/>
  <c r="F54" i="48081" s="1"/>
  <c r="G58" i="48081"/>
  <c r="F58" i="48081" s="1"/>
  <c r="G56" i="48080"/>
  <c r="F56" i="48080" s="1"/>
  <c r="H51" i="48081"/>
  <c r="H56" i="48081"/>
  <c r="E53" i="48080"/>
  <c r="E57" i="48080"/>
  <c r="E52" i="48081"/>
  <c r="U17" i="48074" l="1"/>
  <c r="S24" i="48074"/>
  <c r="AC17" i="48081"/>
  <c r="AA24" i="48081"/>
  <c r="X60" i="48076"/>
  <c r="Z24" i="48080"/>
  <c r="Y17" i="48075"/>
  <c r="X24" i="48075"/>
  <c r="K24" i="48065"/>
  <c r="M24" i="48065" s="1"/>
  <c r="AB60" i="48080"/>
  <c r="S24" i="48065"/>
  <c r="U24" i="48065" s="1"/>
  <c r="U17" i="48065"/>
  <c r="Y20" i="48080"/>
  <c r="U22" i="48076"/>
  <c r="T24" i="48076"/>
  <c r="U24" i="48076" s="1"/>
  <c r="Y23" i="48074"/>
  <c r="X24" i="48074"/>
  <c r="Y24" i="48074" s="1"/>
  <c r="V24" i="48080"/>
  <c r="T24" i="48075"/>
  <c r="Y17" i="48076"/>
  <c r="X24" i="48076"/>
  <c r="Y24" i="48076" s="1"/>
  <c r="N60" i="48063"/>
  <c r="W24" i="48079"/>
  <c r="Y17" i="48081"/>
  <c r="W24" i="48081"/>
  <c r="Y24" i="48081" s="1"/>
  <c r="V24" i="48081"/>
  <c r="X24" i="48080"/>
  <c r="AB24" i="48080"/>
  <c r="U24" i="48075"/>
  <c r="T24" i="48074"/>
  <c r="AC17" i="48080"/>
  <c r="AA24" i="48080"/>
  <c r="AC24" i="48080" s="1"/>
  <c r="Y17" i="48080"/>
  <c r="W24" i="48080"/>
  <c r="Y24" i="48080" s="1"/>
  <c r="Y19" i="48079"/>
  <c r="X24" i="48079"/>
  <c r="Z24" i="48081"/>
  <c r="X24" i="48081"/>
  <c r="AB24" i="48081"/>
  <c r="Y24" i="48075"/>
  <c r="U18" i="48075"/>
  <c r="E24" i="48063"/>
  <c r="G24" i="48063"/>
  <c r="K24" i="48063"/>
  <c r="M24" i="48063" s="1"/>
  <c r="M18" i="48063"/>
  <c r="Y24" i="48079" l="1"/>
  <c r="AC24" i="48081"/>
  <c r="U24" i="48074"/>
</calcChain>
</file>

<file path=xl/sharedStrings.xml><?xml version="1.0" encoding="utf-8"?>
<sst xmlns="http://schemas.openxmlformats.org/spreadsheetml/2006/main" count="1618" uniqueCount="246">
  <si>
    <t>LICENSE AND PERMITS</t>
  </si>
  <si>
    <t>FY 2009 Adopted</t>
  </si>
  <si>
    <t>Fees/Charges for Services</t>
  </si>
  <si>
    <t>Investment Revenue</t>
  </si>
  <si>
    <t>Fines</t>
  </si>
  <si>
    <t>Revenues</t>
  </si>
  <si>
    <t>OTHER FINANCING SOURCES</t>
  </si>
  <si>
    <t>PUBLIC FACILITIES</t>
  </si>
  <si>
    <t>CULTURE AND RECREATION</t>
  </si>
  <si>
    <t>EQUIPMENT SERVICES</t>
  </si>
  <si>
    <t>HEALTH AND WELFARE</t>
  </si>
  <si>
    <t>CONSERVATION</t>
  </si>
  <si>
    <t>UNCLASSIFIED</t>
  </si>
  <si>
    <t>25% of Budget Variance</t>
  </si>
  <si>
    <t>General Administration</t>
  </si>
  <si>
    <t>Financial Administration</t>
  </si>
  <si>
    <t>TAXES</t>
  </si>
  <si>
    <t>INTERGOVERNMENTAL REV</t>
  </si>
  <si>
    <t>INVESTMENT REVENUE</t>
  </si>
  <si>
    <t>OTHER REVENUE</t>
  </si>
  <si>
    <t>FEES/CHARGES FOR SERVICES</t>
  </si>
  <si>
    <t>INSURANCE/EMPLOYEE BENEFT</t>
  </si>
  <si>
    <t>FINES</t>
  </si>
  <si>
    <t>Budget &amp; Finance</t>
  </si>
  <si>
    <t>www.collincountytx.gov</t>
  </si>
  <si>
    <t xml:space="preserve">% of Budget </t>
  </si>
  <si>
    <t>Current / Delinquent Taxes</t>
  </si>
  <si>
    <t>Miscellaneous</t>
  </si>
  <si>
    <t>Total</t>
  </si>
  <si>
    <t>General Fund Revenue by Source</t>
  </si>
  <si>
    <t>Conservation</t>
  </si>
  <si>
    <t>Equipment Services</t>
  </si>
  <si>
    <t>Judicial</t>
  </si>
  <si>
    <t>Legal</t>
  </si>
  <si>
    <t>Public Facilities</t>
  </si>
  <si>
    <t>Public Safety</t>
  </si>
  <si>
    <t>Transfers</t>
  </si>
  <si>
    <t>General Fund Expenditures by Function Area</t>
  </si>
  <si>
    <r>
      <t>To:</t>
    </r>
    <r>
      <rPr>
        <sz val="10"/>
        <rFont val="Arial"/>
        <family val="2"/>
      </rPr>
      <t xml:space="preserve"> </t>
    </r>
  </si>
  <si>
    <t>Collin County Judge, Commissioners and Bill Bilyeu</t>
  </si>
  <si>
    <r>
      <t>From: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</si>
  <si>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</si>
  <si>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r>
      <t>Re:</t>
    </r>
    <r>
      <rPr>
        <sz val="10"/>
        <rFont val="Arial"/>
        <family val="2"/>
      </rPr>
      <t xml:space="preserve"> </t>
    </r>
  </si>
  <si>
    <t xml:space="preserve">            C O L L I N  C O U N T Y</t>
  </si>
  <si>
    <t>Remaining Collections</t>
  </si>
  <si>
    <t>Remaining Expenditures</t>
  </si>
  <si>
    <t>YTD Collections</t>
  </si>
  <si>
    <t>YTD Expenditures</t>
  </si>
  <si>
    <t>75% of Budget Variance</t>
  </si>
  <si>
    <t>GENERAL ADMINISTRATION</t>
  </si>
  <si>
    <t>FINANCIAL ADMINISTRATION</t>
  </si>
  <si>
    <t>PUBLIC SAFETY</t>
  </si>
  <si>
    <t>JUDICIAL</t>
  </si>
  <si>
    <t>LEGAL</t>
  </si>
  <si>
    <t>50% of Budget Variance</t>
  </si>
  <si>
    <t>Intergovernmental Revenue</t>
  </si>
  <si>
    <t>2300 Bloomdale Rd.</t>
  </si>
  <si>
    <t>Suite 4100</t>
  </si>
  <si>
    <t>McKinney, Texas 75071</t>
  </si>
  <si>
    <t>Budget Variance</t>
  </si>
  <si>
    <t>Basic Activity</t>
  </si>
  <si>
    <t>Sub Activity</t>
  </si>
  <si>
    <t>Fiscal Year</t>
  </si>
  <si>
    <t>Original Revenue Budget</t>
  </si>
  <si>
    <t>Actual Month 1</t>
  </si>
  <si>
    <t>Actual Month 2</t>
  </si>
  <si>
    <t>Actual Month 3</t>
  </si>
  <si>
    <t>Actual Month 4</t>
  </si>
  <si>
    <t>Actual Month 5</t>
  </si>
  <si>
    <t>Actual Month 6</t>
  </si>
  <si>
    <t>Actual Month 7</t>
  </si>
  <si>
    <t>Actual Month 8</t>
  </si>
  <si>
    <t>Actual Month 9</t>
  </si>
  <si>
    <t>Actual Month 10</t>
  </si>
  <si>
    <t>Actual Month 11</t>
  </si>
  <si>
    <t>Actual Month 12</t>
  </si>
  <si>
    <t>AD VALOREM</t>
  </si>
  <si>
    <t>BUSINESS LICENSE &amp; PERMIT</t>
  </si>
  <si>
    <t>NONBUSINESS LICENSE/PERMT</t>
  </si>
  <si>
    <t>FEDERAL GOV PROCEEDS</t>
  </si>
  <si>
    <t>PAYMENTS IN LIEU OF TAXES</t>
  </si>
  <si>
    <t>STATE GOV PROCEEDS</t>
  </si>
  <si>
    <t>STATE GOV SHARE REVENUES</t>
  </si>
  <si>
    <t>CHARGES FOR SERVICES</t>
  </si>
  <si>
    <t>COURT FEES</t>
  </si>
  <si>
    <t>FACILITIES SERVICES</t>
  </si>
  <si>
    <t>GENERAL GOVERNMENT FEES</t>
  </si>
  <si>
    <t>HEALTH FEES</t>
  </si>
  <si>
    <t>PUBLIC SAFETY FEES</t>
  </si>
  <si>
    <t>COURT</t>
  </si>
  <si>
    <t>INVESTMENT EARNINGS</t>
  </si>
  <si>
    <t>RENTAL REVENUE</t>
  </si>
  <si>
    <t>INSURANCE CLAIMS</t>
  </si>
  <si>
    <t>DONATIONS</t>
  </si>
  <si>
    <t>MISCELLANEOUS REVENUES</t>
  </si>
  <si>
    <t>PRIOR PERIOD ADJUSTMENT</t>
  </si>
  <si>
    <t>INTERFUND TRANSFERS IN</t>
  </si>
  <si>
    <t>PROCEEDS OF GEN F/A DISP</t>
  </si>
  <si>
    <t>Mónika Arris</t>
  </si>
  <si>
    <t>FY 2010 Adopted</t>
  </si>
  <si>
    <t>Total Actual Months</t>
  </si>
  <si>
    <t>Diff</t>
  </si>
  <si>
    <t>License / Permits</t>
  </si>
  <si>
    <t>Activity Basic Account</t>
  </si>
  <si>
    <t>Original Budget</t>
  </si>
  <si>
    <t>Revised Budget</t>
  </si>
  <si>
    <t>Actuals</t>
  </si>
  <si>
    <t>DEBT SERVICE</t>
  </si>
  <si>
    <t>PUBLIC TRANSPORTATION</t>
  </si>
  <si>
    <t>2010 YTD Collections</t>
  </si>
  <si>
    <t>2009 1st Quarter Collections</t>
  </si>
  <si>
    <t>FY 2008 Adopted</t>
  </si>
  <si>
    <t>2008 1st Quarter Collections</t>
  </si>
  <si>
    <t>2009 Actual</t>
  </si>
  <si>
    <t>2008 Actual</t>
  </si>
  <si>
    <t>2010 YTD</t>
  </si>
  <si>
    <t>2010 Remaining</t>
  </si>
  <si>
    <t>2009 1st Quarter Actuals</t>
  </si>
  <si>
    <t>2009 Adjusted</t>
  </si>
  <si>
    <t xml:space="preserve">2009 Remaining </t>
  </si>
  <si>
    <t>2008 1st Quarter Actuals</t>
  </si>
  <si>
    <t>2008 Adjusted</t>
  </si>
  <si>
    <t>2008 Remaining</t>
  </si>
  <si>
    <t>Culture And Recreation</t>
  </si>
  <si>
    <t>Health And Welfare</t>
  </si>
  <si>
    <t>2009 2nd Quarter Collections</t>
  </si>
  <si>
    <t>2008 2nd Quarter Collections</t>
  </si>
  <si>
    <t>2009 2nd Quarter Actuals</t>
  </si>
  <si>
    <t>2008 2nd Quarter Actuals</t>
  </si>
  <si>
    <t>2009 3rd Quarter Collections</t>
  </si>
  <si>
    <t>2008 3rd Quarter Collections</t>
  </si>
  <si>
    <t>2009 3rd Quarter Actuals</t>
  </si>
  <si>
    <t>2008 3rd Quarter Actuals</t>
  </si>
  <si>
    <t>2009 4th Quarter Collections</t>
  </si>
  <si>
    <t>2008 4th Quarter Collections</t>
  </si>
  <si>
    <t>2009 4th Quarter Actuals</t>
  </si>
  <si>
    <t>2008 4th Quarter Actuals</t>
  </si>
  <si>
    <t>FY 2010 2nd Quarter Report – Collin County General Fund</t>
  </si>
  <si>
    <t>FY 2010 3rd Quarter Report – Collin County General Fund</t>
  </si>
  <si>
    <t>FY 2010 4th Quarter Report – Collin County General Fund</t>
  </si>
  <si>
    <t>Health &amp; Welfare</t>
  </si>
  <si>
    <t>2010 1st Quarter Collections</t>
  </si>
  <si>
    <t>2010 Actual</t>
  </si>
  <si>
    <t>FY 2011 Adopted</t>
  </si>
  <si>
    <t>2011 YTD Collections</t>
  </si>
  <si>
    <t>FY 2011 1st Quarter Report – Collin County General Fund</t>
  </si>
  <si>
    <t>2010 1st Quarter Actuals</t>
  </si>
  <si>
    <t>2011 Remaining</t>
  </si>
  <si>
    <t>2011 1st Quarter Actuals</t>
  </si>
  <si>
    <t>YTD Collections as of 1/15/11</t>
  </si>
  <si>
    <t>YTD Expenditures as of 1/15/11</t>
  </si>
  <si>
    <t>Gen Administration</t>
  </si>
  <si>
    <t>FY 2011 2nd Quarter Report – Collin County General Fund</t>
  </si>
  <si>
    <t>YTD Collections as of 4/15/11</t>
  </si>
  <si>
    <t>YTD Expenditures as of 4/15/11</t>
  </si>
  <si>
    <t>2008 2nd Quarter  YTD Collections</t>
  </si>
  <si>
    <t>2009 2nd Quarter  YTD Collections</t>
  </si>
  <si>
    <t>2010 2nd Quarter  YTD Collections</t>
  </si>
  <si>
    <t>2008 2nd YTD Quarter Actuals</t>
  </si>
  <si>
    <t>2009 2nd YTD Quarter Actuals</t>
  </si>
  <si>
    <t>2010 2nd YTD Quarter Actuals</t>
  </si>
  <si>
    <t>FY 2011 3rd Quarter Report – Collin County General Fund</t>
  </si>
  <si>
    <t>YTD Collections as of 7/15/11</t>
  </si>
  <si>
    <t>YTD Expenditures as of 7/15/11</t>
  </si>
  <si>
    <t>2010 3rd Quarter  YTD Collections</t>
  </si>
  <si>
    <t>2009 3rd Quarter  YTD Collections</t>
  </si>
  <si>
    <t>2008 3rd Quarter  YTD Collections</t>
  </si>
  <si>
    <t>2011 3rd Quarter Actuals</t>
  </si>
  <si>
    <t>2010 3rd YTD Quarter Actuals</t>
  </si>
  <si>
    <t>2008 3rd YTD Quarter Actuals</t>
  </si>
  <si>
    <t>YTD Collections as of 10/15/11</t>
  </si>
  <si>
    <t>100% of Budget Variance</t>
  </si>
  <si>
    <t>2010 4th Quarter  YTD Collections</t>
  </si>
  <si>
    <t>2009 4th Quarter  YTD Collections</t>
  </si>
  <si>
    <t>2008 4th Quarter  YTD Collections</t>
  </si>
  <si>
    <t>YTD Expenditures as of 10/15/11</t>
  </si>
  <si>
    <t>2011 4th  Quarter Actuals</t>
  </si>
  <si>
    <t>2010 4th YTD Quarter Actuals</t>
  </si>
  <si>
    <t>2009 4th YTD Quarter Actuals</t>
  </si>
  <si>
    <t>2008 4th YTD Quarter Actuals</t>
  </si>
  <si>
    <t>General Administration*</t>
  </si>
  <si>
    <t>*$35 Million additional paid to TCDRS in FY2011.</t>
  </si>
  <si>
    <t>FY 2012 1st Quarter Report – Collin County General Fund</t>
  </si>
  <si>
    <t>FY 2012 Adopted</t>
  </si>
  <si>
    <t>2012 YTD Collections</t>
  </si>
  <si>
    <t>2011 1st Qtr Collections</t>
  </si>
  <si>
    <t>YTD Collections as of 1/15/12</t>
  </si>
  <si>
    <t>2011 Actual</t>
  </si>
  <si>
    <t>2012 1st Quarter Actuals</t>
  </si>
  <si>
    <t>2012 Remaining</t>
  </si>
  <si>
    <t>YTD Expenditures as of 1/15/12</t>
  </si>
  <si>
    <t>FY 2012 2nd Quarter Report – Collin County General Fund</t>
  </si>
  <si>
    <t>YTD Collections as of 4/15/12</t>
  </si>
  <si>
    <t>YTD Expenditures as of 4/15/12</t>
  </si>
  <si>
    <t>2010 2nd Quarter Collections</t>
  </si>
  <si>
    <t>Thru 2011 2nd Qtr Collections</t>
  </si>
  <si>
    <t>2012 2nd Quarter Actuals</t>
  </si>
  <si>
    <t>2011 2nd Quarter Actuals</t>
  </si>
  <si>
    <t>2010 2nd Quarter Actuals</t>
  </si>
  <si>
    <t>2008  2nd Quarter Actuals</t>
  </si>
  <si>
    <t>FY 2012 3rd Quarter Report – Collin County General Fund</t>
  </si>
  <si>
    <t>YTD Expenditures as of 7/15/12</t>
  </si>
  <si>
    <t>Thru 2011 3rd Qtr Collections</t>
  </si>
  <si>
    <t>2010 3rd Quarter Collections</t>
  </si>
  <si>
    <t>2012 3rd Quarter Actuals</t>
  </si>
  <si>
    <t>2010 3rd Quarter Actuals</t>
  </si>
  <si>
    <t>2008  3rd Quarter Actuals</t>
  </si>
  <si>
    <t>YTD Collections as of 7/15/12</t>
  </si>
  <si>
    <t>FY 2012 4th Quarter Report – Collin County General Fund</t>
  </si>
  <si>
    <t>YTD Collections as of 10/08/12</t>
  </si>
  <si>
    <t xml:space="preserve"> Budget Variance</t>
  </si>
  <si>
    <t>YTD Expenditures as of 10/08/12</t>
  </si>
  <si>
    <t>Thru 2011 4th Qtr Collections</t>
  </si>
  <si>
    <t>2010 4th Quarter Collections</t>
  </si>
  <si>
    <t>2012 4th Quarter Actuals</t>
  </si>
  <si>
    <t>2011 4th Quarter Actuals</t>
  </si>
  <si>
    <t>2010 4th Quarter Actuals</t>
  </si>
  <si>
    <t>2008  4th Quarter Actuals</t>
  </si>
  <si>
    <t>FY 2013 1st Quarter Report – Collin County General Fund</t>
  </si>
  <si>
    <t>YTD Collections as of 1/15/13</t>
  </si>
  <si>
    <t>2013 YTD Collections</t>
  </si>
  <si>
    <t>FY 2013 Adopted</t>
  </si>
  <si>
    <t>2012 1st Qtr Collections</t>
  </si>
  <si>
    <t>2013 1st Quarter Actuals</t>
  </si>
  <si>
    <t>YTD Expenditures as of 1/15/13</t>
  </si>
  <si>
    <r>
      <t>To:</t>
    </r>
    <r>
      <rPr>
        <sz val="12"/>
        <rFont val="Calibri"/>
        <family val="2"/>
        <scheme val="minor"/>
      </rPr>
      <t xml:space="preserve"> </t>
    </r>
  </si>
  <si>
    <r>
      <t>From:</t>
    </r>
    <r>
      <rPr>
        <sz val="12"/>
        <rFont val="Calibri"/>
        <family val="2"/>
        <scheme val="minor"/>
      </rPr>
      <t xml:space="preserve"> </t>
    </r>
  </si>
  <si>
    <r>
      <t>Date:</t>
    </r>
    <r>
      <rPr>
        <sz val="12"/>
        <rFont val="Calibri"/>
        <family val="2"/>
        <scheme val="minor"/>
      </rPr>
      <t xml:space="preserve"> </t>
    </r>
  </si>
  <si>
    <r>
      <t>Re:</t>
    </r>
    <r>
      <rPr>
        <sz val="12"/>
        <rFont val="Calibri"/>
        <family val="2"/>
        <scheme val="minor"/>
      </rPr>
      <t xml:space="preserve"> </t>
    </r>
  </si>
  <si>
    <t xml:space="preserve"> Variance to 25% of Budget</t>
  </si>
  <si>
    <t>FY 2013 2nd Quarter Report – Collin County General Fund</t>
  </si>
  <si>
    <t>YTD Collections as of 4/15/13</t>
  </si>
  <si>
    <t xml:space="preserve"> Variance to 50% of Budget</t>
  </si>
  <si>
    <t>YTD Expenditures as of 4/15/13</t>
  </si>
  <si>
    <t>2013 2nd Quarter Actuals</t>
  </si>
  <si>
    <t>FY 2013 3rd Quarter Report – Collin County General Fund</t>
  </si>
  <si>
    <t>YTD Collections as of 7/15/13</t>
  </si>
  <si>
    <t>YTD Expenditures as of 7/15/13</t>
  </si>
  <si>
    <t>Transfers/Unclassified</t>
  </si>
  <si>
    <t xml:space="preserve"> Variance to 75% of Budget</t>
  </si>
  <si>
    <t>2013 3rd Quarter Actuals</t>
  </si>
  <si>
    <t>FY 2013 4th Quarter Report – Collin County General Fund</t>
  </si>
  <si>
    <t xml:space="preserve"> Variance to 100% of Budget</t>
  </si>
  <si>
    <t>2013 4th Quarter Actuals</t>
  </si>
  <si>
    <t>YTD Collections as of 10/7/13</t>
  </si>
  <si>
    <t>YTD Expenditures as of 10/7/13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</si>
</sst>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  <numFmt numFmtId="165" formatCode="0;\-0"/>
    <numFmt numFmtId="166" formatCode="_(* #,##0_);_(* \(#,##0\);_(* &quot;-&quot;??_);_(@_)"/>
    <numFmt numFmtId="167" formatCode="_(&quot;$&quot;* #,##0_);_(&quot;$&quot;* \(#,##0\);_(&quot;$&quot;* &quot;-&quot;??_);_(@_)"/>
    <numFmt numFmtId="168" formatCode=";;;@"/>
    <numFmt numFmtId="169" formatCode="&quot;$&quot;#,##0.00_);\(&quot;$&quot;#,##0.00\);&quot;$&quot;0.00_)"/>
  </numFmts>
  <fonts count="2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8"/>
      <name val="Franklin Gothic Demi"/>
      <family val="2"/>
    </font>
    <font>
      <sz val="11"/>
      <name val="Franklin Gothic Book"/>
      <family val="2"/>
    </font>
    <font>
      <b/>
      <sz val="10"/>
      <color indexed="9"/>
      <name val="Arial"/>
      <family val="2"/>
    </font>
    <font>
      <sz val="10"/>
      <name val="Arial (W1)"/>
      <family val="2"/>
    </font>
    <font>
      <b/>
      <sz val="10"/>
      <color indexed="9"/>
      <name val="Arial (W1)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sz val="10"/>
      <name val="Arial (W1)"/>
      <family val="2"/>
    </font>
    <font>
      <i/>
      <sz val="10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" fillId="0" borderId="0"/>
    <xf numFmtId="0" fontId="1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9" fontId="7" fillId="0" borderId="0" xfId="10" applyFont="1"/>
    <xf numFmtId="0" fontId="7" fillId="0" borderId="0" xfId="8" applyFont="1"/>
    <xf numFmtId="0" fontId="5" fillId="0" borderId="0" xfId="8" applyFont="1" applyAlignment="1">
      <alignment horizontal="right"/>
    </xf>
    <xf numFmtId="0" fontId="7" fillId="0" borderId="1" xfId="8" applyFont="1" applyBorder="1"/>
    <xf numFmtId="0" fontId="5" fillId="0" borderId="1" xfId="8" applyFont="1" applyBorder="1" applyAlignment="1">
      <alignment horizontal="right"/>
    </xf>
    <xf numFmtId="0" fontId="9" fillId="0" borderId="0" xfId="8" applyFont="1"/>
    <xf numFmtId="0" fontId="2" fillId="0" borderId="0" xfId="8" applyFont="1"/>
    <xf numFmtId="164" fontId="2" fillId="0" borderId="0" xfId="8" applyNumberFormat="1" applyFont="1" applyAlignment="1">
      <alignment horizontal="left"/>
    </xf>
    <xf numFmtId="0" fontId="8" fillId="2" borderId="2" xfId="8" applyFont="1" applyFill="1" applyBorder="1" applyAlignment="1">
      <alignment horizontal="center" wrapText="1"/>
    </xf>
    <xf numFmtId="9" fontId="7" fillId="0" borderId="0" xfId="8" applyNumberFormat="1" applyFont="1"/>
    <xf numFmtId="6" fontId="7" fillId="0" borderId="3" xfId="8" applyNumberFormat="1" applyFont="1" applyBorder="1" applyAlignment="1">
      <alignment horizontal="right" vertical="top" wrapText="1"/>
    </xf>
    <xf numFmtId="10" fontId="7" fillId="0" borderId="3" xfId="8" applyNumberFormat="1" applyFont="1" applyBorder="1" applyAlignment="1">
      <alignment horizontal="right" vertical="top" wrapText="1"/>
    </xf>
    <xf numFmtId="8" fontId="7" fillId="0" borderId="4" xfId="8" applyNumberFormat="1" applyFont="1" applyBorder="1"/>
    <xf numFmtId="8" fontId="7" fillId="0" borderId="0" xfId="8" applyNumberFormat="1" applyFont="1"/>
    <xf numFmtId="6" fontId="7" fillId="0" borderId="0" xfId="8" applyNumberFormat="1" applyFont="1"/>
    <xf numFmtId="3" fontId="7" fillId="0" borderId="3" xfId="8" applyNumberFormat="1" applyFont="1" applyBorder="1" applyAlignment="1">
      <alignment horizontal="right" vertical="top" wrapText="1"/>
    </xf>
    <xf numFmtId="6" fontId="7" fillId="0" borderId="4" xfId="8" applyNumberFormat="1" applyFont="1" applyBorder="1" applyAlignment="1">
      <alignment horizontal="right" vertical="top" wrapText="1"/>
    </xf>
    <xf numFmtId="0" fontId="3" fillId="0" borderId="0" xfId="8" applyFont="1" applyBorder="1" applyAlignment="1">
      <alignment horizontal="center"/>
    </xf>
    <xf numFmtId="0" fontId="6" fillId="2" borderId="4" xfId="8" applyFont="1" applyFill="1" applyBorder="1" applyAlignment="1">
      <alignment horizontal="center" wrapText="1"/>
    </xf>
    <xf numFmtId="6" fontId="2" fillId="0" borderId="3" xfId="8" applyNumberFormat="1" applyFont="1" applyBorder="1" applyAlignment="1">
      <alignment horizontal="right" vertical="top" wrapText="1"/>
    </xf>
    <xf numFmtId="0" fontId="14" fillId="0" borderId="0" xfId="9" applyFont="1" applyFill="1" applyBorder="1" applyAlignment="1">
      <alignment horizontal="left" vertical="top"/>
    </xf>
    <xf numFmtId="38" fontId="7" fillId="0" borderId="3" xfId="8" applyNumberFormat="1" applyFont="1" applyBorder="1" applyAlignment="1">
      <alignment horizontal="right" vertical="top" wrapText="1"/>
    </xf>
    <xf numFmtId="8" fontId="7" fillId="0" borderId="0" xfId="8" applyNumberFormat="1" applyFont="1" applyBorder="1"/>
    <xf numFmtId="6" fontId="7" fillId="0" borderId="0" xfId="8" applyNumberFormat="1" applyFont="1" applyBorder="1"/>
    <xf numFmtId="3" fontId="2" fillId="0" borderId="0" xfId="8" applyNumberFormat="1" applyFont="1" applyBorder="1" applyAlignment="1">
      <alignment horizontal="right" vertical="top" wrapText="1"/>
    </xf>
    <xf numFmtId="3" fontId="7" fillId="0" borderId="0" xfId="8" applyNumberFormat="1" applyFont="1" applyBorder="1" applyAlignment="1">
      <alignment horizontal="right" vertical="top" wrapText="1"/>
    </xf>
    <xf numFmtId="38" fontId="7" fillId="0" borderId="0" xfId="8" applyNumberFormat="1" applyFont="1" applyBorder="1" applyAlignment="1">
      <alignment horizontal="right" vertical="top" wrapText="1"/>
    </xf>
    <xf numFmtId="166" fontId="7" fillId="0" borderId="3" xfId="8" applyNumberFormat="1" applyFont="1" applyBorder="1" applyAlignment="1">
      <alignment horizontal="right" vertical="top" wrapText="1"/>
    </xf>
    <xf numFmtId="6" fontId="7" fillId="0" borderId="4" xfId="8" applyNumberFormat="1" applyFont="1" applyBorder="1"/>
    <xf numFmtId="0" fontId="12" fillId="0" borderId="0" xfId="6">
      <alignment wrapText="1"/>
    </xf>
    <xf numFmtId="168" fontId="11" fillId="3" borderId="5" xfId="6" applyNumberFormat="1" applyFont="1" applyFill="1" applyBorder="1" applyAlignment="1">
      <alignment horizontal="left" vertical="top"/>
    </xf>
    <xf numFmtId="169" fontId="12" fillId="0" borderId="0" xfId="6" applyNumberFormat="1">
      <alignment wrapText="1"/>
    </xf>
    <xf numFmtId="168" fontId="11" fillId="3" borderId="6" xfId="6" applyNumberFormat="1" applyFont="1" applyFill="1" applyBorder="1" applyAlignment="1">
      <alignment horizontal="left" vertical="top"/>
    </xf>
    <xf numFmtId="0" fontId="12" fillId="3" borderId="7" xfId="6" applyFill="1" applyBorder="1">
      <alignment wrapText="1"/>
    </xf>
    <xf numFmtId="0" fontId="12" fillId="3" borderId="8" xfId="6" applyFill="1" applyBorder="1">
      <alignment wrapText="1"/>
    </xf>
    <xf numFmtId="168" fontId="11" fillId="3" borderId="9" xfId="6" applyNumberFormat="1" applyFont="1" applyFill="1" applyBorder="1" applyAlignment="1">
      <alignment vertical="top"/>
    </xf>
    <xf numFmtId="165" fontId="11" fillId="3" borderId="9" xfId="6" applyNumberFormat="1" applyFont="1" applyFill="1" applyBorder="1" applyAlignment="1">
      <alignment vertical="top"/>
    </xf>
    <xf numFmtId="169" fontId="11" fillId="3" borderId="9" xfId="6" applyNumberFormat="1" applyFont="1" applyFill="1" applyBorder="1" applyAlignment="1">
      <alignment vertical="top"/>
    </xf>
    <xf numFmtId="0" fontId="12" fillId="4" borderId="10" xfId="6" applyFill="1" applyBorder="1">
      <alignment wrapText="1"/>
    </xf>
    <xf numFmtId="0" fontId="12" fillId="4" borderId="0" xfId="6" applyFill="1">
      <alignment wrapText="1"/>
    </xf>
    <xf numFmtId="169" fontId="11" fillId="4" borderId="0" xfId="6" applyNumberFormat="1" applyFont="1" applyFill="1" applyAlignment="1">
      <alignment vertical="top"/>
    </xf>
    <xf numFmtId="0" fontId="12" fillId="5" borderId="0" xfId="6" applyFill="1">
      <alignment wrapText="1"/>
    </xf>
    <xf numFmtId="0" fontId="13" fillId="3" borderId="6" xfId="6" applyFont="1" applyFill="1" applyBorder="1" applyAlignment="1">
      <alignment horizontal="center" vertical="top" wrapText="1"/>
    </xf>
    <xf numFmtId="0" fontId="13" fillId="3" borderId="9" xfId="6" applyFont="1" applyFill="1" applyBorder="1" applyAlignment="1">
      <alignment horizontal="center" vertical="top" wrapText="1"/>
    </xf>
    <xf numFmtId="0" fontId="13" fillId="3" borderId="11" xfId="6" applyFont="1" applyFill="1" applyBorder="1" applyAlignment="1">
      <alignment horizontal="center" vertical="top" wrapText="1"/>
    </xf>
    <xf numFmtId="169" fontId="11" fillId="3" borderId="11" xfId="6" applyNumberFormat="1" applyFont="1" applyFill="1" applyBorder="1" applyAlignment="1">
      <alignment vertical="top"/>
    </xf>
    <xf numFmtId="169" fontId="11" fillId="4" borderId="12" xfId="6" applyNumberFormat="1" applyFont="1" applyFill="1" applyBorder="1" applyAlignment="1">
      <alignment vertical="top"/>
    </xf>
    <xf numFmtId="168" fontId="11" fillId="3" borderId="13" xfId="6" applyNumberFormat="1" applyFont="1" applyFill="1" applyBorder="1" applyAlignment="1">
      <alignment vertical="top"/>
    </xf>
    <xf numFmtId="165" fontId="11" fillId="3" borderId="13" xfId="6" applyNumberFormat="1" applyFont="1" applyFill="1" applyBorder="1" applyAlignment="1">
      <alignment vertical="top"/>
    </xf>
    <xf numFmtId="169" fontId="11" fillId="3" borderId="13" xfId="6" applyNumberFormat="1" applyFont="1" applyFill="1" applyBorder="1" applyAlignment="1">
      <alignment vertical="top"/>
    </xf>
    <xf numFmtId="169" fontId="11" fillId="3" borderId="14" xfId="6" applyNumberFormat="1" applyFont="1" applyFill="1" applyBorder="1" applyAlignment="1">
      <alignment vertical="top"/>
    </xf>
    <xf numFmtId="0" fontId="12" fillId="4" borderId="15" xfId="6" applyFill="1" applyBorder="1">
      <alignment wrapText="1"/>
    </xf>
    <xf numFmtId="0" fontId="12" fillId="4" borderId="16" xfId="6" applyFill="1" applyBorder="1">
      <alignment wrapText="1"/>
    </xf>
    <xf numFmtId="169" fontId="11" fillId="4" borderId="16" xfId="6" applyNumberFormat="1" applyFont="1" applyFill="1" applyBorder="1" applyAlignment="1">
      <alignment vertical="top"/>
    </xf>
    <xf numFmtId="169" fontId="11" fillId="4" borderId="2" xfId="6" applyNumberFormat="1" applyFont="1" applyFill="1" applyBorder="1" applyAlignment="1">
      <alignment vertical="top"/>
    </xf>
    <xf numFmtId="0" fontId="12" fillId="5" borderId="15" xfId="6" applyFill="1" applyBorder="1">
      <alignment wrapText="1"/>
    </xf>
    <xf numFmtId="0" fontId="12" fillId="5" borderId="16" xfId="6" applyFill="1" applyBorder="1">
      <alignment wrapText="1"/>
    </xf>
    <xf numFmtId="0" fontId="11" fillId="5" borderId="16" xfId="6" applyFont="1" applyFill="1" applyBorder="1" applyAlignment="1">
      <alignment vertical="top" wrapText="1"/>
    </xf>
    <xf numFmtId="169" fontId="11" fillId="5" borderId="16" xfId="6" applyNumberFormat="1" applyFont="1" applyFill="1" applyBorder="1" applyAlignment="1">
      <alignment vertical="top"/>
    </xf>
    <xf numFmtId="169" fontId="11" fillId="5" borderId="2" xfId="6" applyNumberFormat="1" applyFont="1" applyFill="1" applyBorder="1" applyAlignment="1">
      <alignment vertical="top"/>
    </xf>
    <xf numFmtId="0" fontId="12" fillId="0" borderId="0" xfId="6" applyFont="1">
      <alignment wrapText="1"/>
    </xf>
    <xf numFmtId="169" fontId="11" fillId="4" borderId="0" xfId="6" applyNumberFormat="1" applyFont="1" applyFill="1" applyBorder="1" applyAlignment="1">
      <alignment vertical="top"/>
    </xf>
    <xf numFmtId="169" fontId="11" fillId="5" borderId="0" xfId="6" applyNumberFormat="1" applyFont="1" applyFill="1" applyBorder="1" applyAlignment="1">
      <alignment vertical="top"/>
    </xf>
    <xf numFmtId="0" fontId="12" fillId="3" borderId="0" xfId="2" applyFill="1">
      <alignment wrapText="1"/>
    </xf>
    <xf numFmtId="0" fontId="12" fillId="0" borderId="0" xfId="2">
      <alignment wrapText="1"/>
    </xf>
    <xf numFmtId="0" fontId="12" fillId="3" borderId="8" xfId="2" applyFill="1" applyBorder="1">
      <alignment wrapText="1"/>
    </xf>
    <xf numFmtId="168" fontId="11" fillId="3" borderId="6" xfId="2" applyNumberFormat="1" applyFont="1" applyFill="1" applyBorder="1" applyAlignment="1">
      <alignment horizontal="left" vertical="top"/>
    </xf>
    <xf numFmtId="0" fontId="12" fillId="3" borderId="7" xfId="2" applyFill="1" applyBorder="1">
      <alignment wrapText="1"/>
    </xf>
    <xf numFmtId="168" fontId="11" fillId="3" borderId="5" xfId="2" applyNumberFormat="1" applyFont="1" applyFill="1" applyBorder="1" applyAlignment="1">
      <alignment horizontal="left" vertical="top"/>
    </xf>
    <xf numFmtId="168" fontId="11" fillId="3" borderId="9" xfId="2" applyNumberFormat="1" applyFont="1" applyFill="1" applyBorder="1" applyAlignment="1">
      <alignment vertical="top"/>
    </xf>
    <xf numFmtId="169" fontId="11" fillId="3" borderId="9" xfId="2" applyNumberFormat="1" applyFont="1" applyFill="1" applyBorder="1" applyAlignment="1">
      <alignment vertical="top"/>
    </xf>
    <xf numFmtId="0" fontId="12" fillId="4" borderId="10" xfId="2" applyFill="1" applyBorder="1">
      <alignment wrapText="1"/>
    </xf>
    <xf numFmtId="0" fontId="12" fillId="4" borderId="0" xfId="2" applyFill="1">
      <alignment wrapText="1"/>
    </xf>
    <xf numFmtId="169" fontId="11" fillId="4" borderId="0" xfId="2" applyNumberFormat="1" applyFont="1" applyFill="1" applyAlignment="1">
      <alignment vertical="top"/>
    </xf>
    <xf numFmtId="168" fontId="11" fillId="3" borderId="17" xfId="2" applyNumberFormat="1" applyFont="1" applyFill="1" applyBorder="1" applyAlignment="1">
      <alignment vertical="top"/>
    </xf>
    <xf numFmtId="168" fontId="11" fillId="3" borderId="18" xfId="2" applyNumberFormat="1" applyFont="1" applyFill="1" applyBorder="1" applyAlignment="1">
      <alignment vertical="top"/>
    </xf>
    <xf numFmtId="169" fontId="11" fillId="3" borderId="18" xfId="2" applyNumberFormat="1" applyFont="1" applyFill="1" applyBorder="1" applyAlignment="1">
      <alignment vertical="top"/>
    </xf>
    <xf numFmtId="169" fontId="11" fillId="3" borderId="19" xfId="2" applyNumberFormat="1" applyFont="1" applyFill="1" applyBorder="1" applyAlignment="1">
      <alignment vertical="top"/>
    </xf>
    <xf numFmtId="0" fontId="12" fillId="5" borderId="15" xfId="2" applyFill="1" applyBorder="1">
      <alignment wrapText="1"/>
    </xf>
    <xf numFmtId="0" fontId="12" fillId="5" borderId="16" xfId="2" applyFill="1" applyBorder="1">
      <alignment wrapText="1"/>
    </xf>
    <xf numFmtId="169" fontId="11" fillId="5" borderId="16" xfId="2" applyNumberFormat="1" applyFont="1" applyFill="1" applyBorder="1" applyAlignment="1">
      <alignment vertical="top"/>
    </xf>
    <xf numFmtId="169" fontId="11" fillId="5" borderId="2" xfId="2" applyNumberFormat="1" applyFont="1" applyFill="1" applyBorder="1" applyAlignment="1">
      <alignment vertical="top"/>
    </xf>
    <xf numFmtId="169" fontId="11" fillId="4" borderId="12" xfId="2" applyNumberFormat="1" applyFont="1" applyFill="1" applyBorder="1" applyAlignment="1">
      <alignment vertical="top"/>
    </xf>
    <xf numFmtId="169" fontId="11" fillId="3" borderId="11" xfId="2" applyNumberFormat="1" applyFont="1" applyFill="1" applyBorder="1" applyAlignment="1">
      <alignment vertical="top"/>
    </xf>
    <xf numFmtId="0" fontId="13" fillId="3" borderId="6" xfId="2" applyFont="1" applyFill="1" applyBorder="1" applyAlignment="1">
      <alignment horizontal="center" vertical="top" wrapText="1"/>
    </xf>
    <xf numFmtId="0" fontId="13" fillId="3" borderId="13" xfId="2" applyFont="1" applyFill="1" applyBorder="1" applyAlignment="1">
      <alignment vertical="top" wrapText="1"/>
    </xf>
    <xf numFmtId="0" fontId="9" fillId="3" borderId="8" xfId="2" applyFont="1" applyFill="1" applyBorder="1">
      <alignment wrapText="1"/>
    </xf>
    <xf numFmtId="0" fontId="9" fillId="3" borderId="10" xfId="2" applyFont="1" applyFill="1" applyBorder="1" applyAlignment="1">
      <alignment wrapText="1"/>
    </xf>
    <xf numFmtId="0" fontId="13" fillId="3" borderId="13" xfId="2" applyFont="1" applyFill="1" applyBorder="1" applyAlignment="1">
      <alignment horizontal="center" vertical="top" wrapText="1"/>
    </xf>
    <xf numFmtId="0" fontId="13" fillId="3" borderId="14" xfId="2" applyFont="1" applyFill="1" applyBorder="1" applyAlignment="1">
      <alignment horizontal="center" vertical="top" wrapText="1"/>
    </xf>
    <xf numFmtId="0" fontId="12" fillId="3" borderId="0" xfId="7" applyFill="1">
      <alignment wrapText="1"/>
    </xf>
    <xf numFmtId="0" fontId="12" fillId="0" borderId="0" xfId="7">
      <alignment wrapText="1"/>
    </xf>
    <xf numFmtId="165" fontId="11" fillId="3" borderId="6" xfId="7" applyNumberFormat="1" applyFont="1" applyFill="1" applyBorder="1" applyAlignment="1">
      <alignment horizontal="right" vertical="top"/>
    </xf>
    <xf numFmtId="168" fontId="11" fillId="3" borderId="6" xfId="7" applyNumberFormat="1" applyFont="1" applyFill="1" applyBorder="1" applyAlignment="1">
      <alignment horizontal="left" vertical="top"/>
    </xf>
    <xf numFmtId="165" fontId="11" fillId="3" borderId="5" xfId="7" applyNumberFormat="1" applyFont="1" applyFill="1" applyBorder="1" applyAlignment="1">
      <alignment horizontal="right" vertical="top"/>
    </xf>
    <xf numFmtId="168" fontId="11" fillId="3" borderId="5" xfId="7" applyNumberFormat="1" applyFont="1" applyFill="1" applyBorder="1" applyAlignment="1">
      <alignment horizontal="left" vertical="top"/>
    </xf>
    <xf numFmtId="0" fontId="12" fillId="3" borderId="10" xfId="7" applyFill="1" applyBorder="1">
      <alignment wrapText="1"/>
    </xf>
    <xf numFmtId="169" fontId="11" fillId="3" borderId="0" xfId="7" applyNumberFormat="1" applyFont="1" applyFill="1" applyAlignment="1">
      <alignment horizontal="right" vertical="top"/>
    </xf>
    <xf numFmtId="0" fontId="12" fillId="3" borderId="20" xfId="7" applyFill="1" applyBorder="1">
      <alignment wrapText="1"/>
    </xf>
    <xf numFmtId="0" fontId="12" fillId="3" borderId="21" xfId="7" applyFill="1" applyBorder="1">
      <alignment wrapText="1"/>
    </xf>
    <xf numFmtId="169" fontId="11" fillId="3" borderId="9" xfId="7" applyNumberFormat="1" applyFont="1" applyFill="1" applyBorder="1" applyAlignment="1">
      <alignment vertical="top"/>
    </xf>
    <xf numFmtId="169" fontId="11" fillId="3" borderId="11" xfId="7" applyNumberFormat="1" applyFont="1" applyFill="1" applyBorder="1" applyAlignment="1">
      <alignment vertical="top"/>
    </xf>
    <xf numFmtId="0" fontId="12" fillId="3" borderId="22" xfId="7" applyFill="1" applyBorder="1">
      <alignment wrapText="1"/>
    </xf>
    <xf numFmtId="0" fontId="13" fillId="3" borderId="6" xfId="7" applyFont="1" applyFill="1" applyBorder="1" applyAlignment="1">
      <alignment horizontal="center" vertical="top" wrapText="1"/>
    </xf>
    <xf numFmtId="0" fontId="13" fillId="3" borderId="9" xfId="7" applyFont="1" applyFill="1" applyBorder="1" applyAlignment="1">
      <alignment horizontal="center" vertical="top" wrapText="1"/>
    </xf>
    <xf numFmtId="0" fontId="13" fillId="3" borderId="11" xfId="7" applyFont="1" applyFill="1" applyBorder="1" applyAlignment="1">
      <alignment horizontal="center" vertical="top" wrapText="1"/>
    </xf>
    <xf numFmtId="168" fontId="11" fillId="0" borderId="0" xfId="7" applyNumberFormat="1" applyFont="1" applyFill="1" applyBorder="1" applyAlignment="1">
      <alignment horizontal="left" vertical="top"/>
    </xf>
    <xf numFmtId="0" fontId="12" fillId="0" borderId="0" xfId="4">
      <alignment wrapText="1"/>
    </xf>
    <xf numFmtId="168" fontId="11" fillId="3" borderId="5" xfId="4" applyNumberFormat="1" applyFont="1" applyFill="1" applyBorder="1" applyAlignment="1">
      <alignment horizontal="left" vertical="top"/>
    </xf>
    <xf numFmtId="168" fontId="11" fillId="3" borderId="6" xfId="4" applyNumberFormat="1" applyFont="1" applyFill="1" applyBorder="1" applyAlignment="1">
      <alignment horizontal="left" vertical="top"/>
    </xf>
    <xf numFmtId="0" fontId="12" fillId="3" borderId="7" xfId="4" applyFill="1" applyBorder="1">
      <alignment wrapText="1"/>
    </xf>
    <xf numFmtId="0" fontId="12" fillId="3" borderId="8" xfId="4" applyFill="1" applyBorder="1">
      <alignment wrapText="1"/>
    </xf>
    <xf numFmtId="168" fontId="11" fillId="3" borderId="9" xfId="4" applyNumberFormat="1" applyFont="1" applyFill="1" applyBorder="1" applyAlignment="1">
      <alignment vertical="top"/>
    </xf>
    <xf numFmtId="165" fontId="11" fillId="3" borderId="9" xfId="4" applyNumberFormat="1" applyFont="1" applyFill="1" applyBorder="1" applyAlignment="1">
      <alignment vertical="top"/>
    </xf>
    <xf numFmtId="169" fontId="11" fillId="3" borderId="9" xfId="4" applyNumberFormat="1" applyFont="1" applyFill="1" applyBorder="1" applyAlignment="1">
      <alignment vertical="top"/>
    </xf>
    <xf numFmtId="6" fontId="7" fillId="0" borderId="23" xfId="8" applyNumberFormat="1" applyFont="1" applyBorder="1" applyAlignment="1">
      <alignment horizontal="right" vertical="top" wrapText="1"/>
    </xf>
    <xf numFmtId="3" fontId="7" fillId="0" borderId="24" xfId="8" applyNumberFormat="1" applyFont="1" applyBorder="1" applyAlignment="1">
      <alignment horizontal="right" vertical="top" wrapText="1"/>
    </xf>
    <xf numFmtId="166" fontId="7" fillId="0" borderId="24" xfId="8" applyNumberFormat="1" applyFont="1" applyBorder="1" applyAlignment="1">
      <alignment horizontal="right" vertical="top" wrapText="1"/>
    </xf>
    <xf numFmtId="169" fontId="12" fillId="0" borderId="0" xfId="4" applyNumberFormat="1">
      <alignment wrapText="1"/>
    </xf>
    <xf numFmtId="0" fontId="12" fillId="0" borderId="0" xfId="5">
      <alignment wrapText="1"/>
    </xf>
    <xf numFmtId="165" fontId="11" fillId="3" borderId="6" xfId="5" applyNumberFormat="1" applyFont="1" applyFill="1" applyBorder="1" applyAlignment="1">
      <alignment horizontal="right" vertical="top"/>
    </xf>
    <xf numFmtId="168" fontId="11" fillId="3" borderId="6" xfId="5" applyNumberFormat="1" applyFont="1" applyFill="1" applyBorder="1" applyAlignment="1">
      <alignment horizontal="left" vertical="top"/>
    </xf>
    <xf numFmtId="169" fontId="11" fillId="3" borderId="6" xfId="5" applyNumberFormat="1" applyFont="1" applyFill="1" applyBorder="1" applyAlignment="1">
      <alignment horizontal="right" vertical="top"/>
    </xf>
    <xf numFmtId="165" fontId="11" fillId="3" borderId="5" xfId="5" applyNumberFormat="1" applyFont="1" applyFill="1" applyBorder="1" applyAlignment="1">
      <alignment horizontal="right" vertical="top"/>
    </xf>
    <xf numFmtId="168" fontId="11" fillId="3" borderId="5" xfId="5" applyNumberFormat="1" applyFont="1" applyFill="1" applyBorder="1" applyAlignment="1">
      <alignment horizontal="left" vertical="top"/>
    </xf>
    <xf numFmtId="169" fontId="11" fillId="3" borderId="5" xfId="5" applyNumberFormat="1" applyFont="1" applyFill="1" applyBorder="1" applyAlignment="1">
      <alignment horizontal="right" vertical="top"/>
    </xf>
    <xf numFmtId="0" fontId="12" fillId="3" borderId="13" xfId="5" applyFill="1" applyBorder="1">
      <alignment wrapText="1"/>
    </xf>
    <xf numFmtId="0" fontId="12" fillId="3" borderId="25" xfId="5" applyFill="1" applyBorder="1">
      <alignment wrapText="1"/>
    </xf>
    <xf numFmtId="0" fontId="12" fillId="3" borderId="0" xfId="5" applyFill="1">
      <alignment wrapText="1"/>
    </xf>
    <xf numFmtId="169" fontId="11" fillId="3" borderId="0" xfId="5" applyNumberFormat="1" applyFont="1" applyFill="1" applyAlignment="1">
      <alignment horizontal="right" vertical="top"/>
    </xf>
    <xf numFmtId="169" fontId="11" fillId="3" borderId="9" xfId="5" applyNumberFormat="1" applyFont="1" applyFill="1" applyBorder="1" applyAlignment="1">
      <alignment vertical="top"/>
    </xf>
    <xf numFmtId="169" fontId="11" fillId="3" borderId="11" xfId="5" applyNumberFormat="1" applyFont="1" applyFill="1" applyBorder="1" applyAlignment="1">
      <alignment vertical="top"/>
    </xf>
    <xf numFmtId="169" fontId="12" fillId="0" borderId="0" xfId="5" applyNumberFormat="1">
      <alignment wrapText="1"/>
    </xf>
    <xf numFmtId="0" fontId="7" fillId="0" borderId="1" xfId="8" applyFont="1" applyBorder="1" applyAlignment="1"/>
    <xf numFmtId="0" fontId="2" fillId="0" borderId="0" xfId="8" applyFont="1" applyBorder="1" applyAlignment="1">
      <alignment vertical="top" wrapText="1"/>
    </xf>
    <xf numFmtId="0" fontId="12" fillId="0" borderId="0" xfId="3">
      <alignment wrapText="1"/>
    </xf>
    <xf numFmtId="165" fontId="11" fillId="3" borderId="6" xfId="3" applyNumberFormat="1" applyFont="1" applyFill="1" applyBorder="1" applyAlignment="1">
      <alignment horizontal="right" vertical="top"/>
    </xf>
    <xf numFmtId="168" fontId="11" fillId="3" borderId="6" xfId="3" applyNumberFormat="1" applyFont="1" applyFill="1" applyBorder="1" applyAlignment="1">
      <alignment horizontal="left" vertical="top"/>
    </xf>
    <xf numFmtId="169" fontId="11" fillId="3" borderId="6" xfId="3" applyNumberFormat="1" applyFont="1" applyFill="1" applyBorder="1" applyAlignment="1">
      <alignment horizontal="right" vertical="top"/>
    </xf>
    <xf numFmtId="165" fontId="11" fillId="3" borderId="5" xfId="3" applyNumberFormat="1" applyFont="1" applyFill="1" applyBorder="1" applyAlignment="1">
      <alignment horizontal="right" vertical="top"/>
    </xf>
    <xf numFmtId="168" fontId="11" fillId="3" borderId="5" xfId="3" applyNumberFormat="1" applyFont="1" applyFill="1" applyBorder="1" applyAlignment="1">
      <alignment horizontal="left" vertical="top"/>
    </xf>
    <xf numFmtId="169" fontId="11" fillId="3" borderId="5" xfId="3" applyNumberFormat="1" applyFont="1" applyFill="1" applyBorder="1" applyAlignment="1">
      <alignment horizontal="right" vertical="top"/>
    </xf>
    <xf numFmtId="0" fontId="12" fillId="3" borderId="13" xfId="3" applyFill="1" applyBorder="1">
      <alignment wrapText="1"/>
    </xf>
    <xf numFmtId="0" fontId="12" fillId="3" borderId="25" xfId="3" applyFill="1" applyBorder="1">
      <alignment wrapText="1"/>
    </xf>
    <xf numFmtId="0" fontId="12" fillId="3" borderId="0" xfId="3" applyFill="1">
      <alignment wrapText="1"/>
    </xf>
    <xf numFmtId="169" fontId="11" fillId="3" borderId="9" xfId="3" applyNumberFormat="1" applyFont="1" applyFill="1" applyBorder="1" applyAlignment="1">
      <alignment vertical="top"/>
    </xf>
    <xf numFmtId="169" fontId="11" fillId="3" borderId="11" xfId="3" applyNumberFormat="1" applyFont="1" applyFill="1" applyBorder="1" applyAlignment="1">
      <alignment vertical="top"/>
    </xf>
    <xf numFmtId="169" fontId="11" fillId="3" borderId="0" xfId="3" applyNumberFormat="1" applyFont="1" applyFill="1" applyBorder="1" applyAlignment="1">
      <alignment vertical="top"/>
    </xf>
    <xf numFmtId="169" fontId="11" fillId="3" borderId="26" xfId="3" applyNumberFormat="1" applyFont="1" applyFill="1" applyBorder="1" applyAlignment="1">
      <alignment vertical="top"/>
    </xf>
    <xf numFmtId="0" fontId="8" fillId="2" borderId="27" xfId="8" applyFont="1" applyFill="1" applyBorder="1" applyAlignment="1">
      <alignment horizontal="center" wrapText="1"/>
    </xf>
    <xf numFmtId="0" fontId="15" fillId="6" borderId="27" xfId="8" applyFont="1" applyFill="1" applyBorder="1" applyAlignment="1">
      <alignment horizontal="center" wrapText="1"/>
    </xf>
    <xf numFmtId="10" fontId="7" fillId="0" borderId="28" xfId="8" applyNumberFormat="1" applyFont="1" applyBorder="1" applyAlignment="1">
      <alignment horizontal="right" vertical="top" wrapText="1"/>
    </xf>
    <xf numFmtId="10" fontId="7" fillId="0" borderId="29" xfId="8" applyNumberFormat="1" applyFont="1" applyBorder="1" applyAlignment="1">
      <alignment horizontal="right" vertical="top" wrapText="1"/>
    </xf>
    <xf numFmtId="0" fontId="8" fillId="2" borderId="12" xfId="8" applyFont="1" applyFill="1" applyBorder="1" applyAlignment="1">
      <alignment horizontal="center" wrapText="1"/>
    </xf>
    <xf numFmtId="10" fontId="7" fillId="0" borderId="4" xfId="8" applyNumberFormat="1" applyFont="1" applyBorder="1" applyAlignment="1">
      <alignment horizontal="right" vertical="top" wrapText="1"/>
    </xf>
    <xf numFmtId="3" fontId="2" fillId="0" borderId="4" xfId="8" applyNumberFormat="1" applyFont="1" applyBorder="1" applyAlignment="1">
      <alignment horizontal="right" vertical="top" wrapText="1"/>
    </xf>
    <xf numFmtId="6" fontId="7" fillId="0" borderId="29" xfId="8" applyNumberFormat="1" applyFont="1" applyBorder="1"/>
    <xf numFmtId="3" fontId="2" fillId="0" borderId="28" xfId="8" applyNumberFormat="1" applyFont="1" applyBorder="1" applyAlignment="1">
      <alignment horizontal="right" vertical="top" wrapText="1"/>
    </xf>
    <xf numFmtId="8" fontId="7" fillId="0" borderId="28" xfId="8" applyNumberFormat="1" applyFont="1" applyBorder="1"/>
    <xf numFmtId="37" fontId="7" fillId="0" borderId="23" xfId="1" applyNumberFormat="1" applyFont="1" applyBorder="1" applyAlignment="1">
      <alignment horizontal="right" vertical="top" wrapText="1"/>
    </xf>
    <xf numFmtId="37" fontId="7" fillId="0" borderId="4" xfId="1" applyNumberFormat="1" applyFont="1" applyBorder="1"/>
    <xf numFmtId="37" fontId="7" fillId="0" borderId="28" xfId="1" applyNumberFormat="1" applyFont="1" applyBorder="1"/>
    <xf numFmtId="10" fontId="7" fillId="0" borderId="30" xfId="8" applyNumberFormat="1" applyFont="1" applyBorder="1" applyAlignment="1">
      <alignment horizontal="right" vertical="top" wrapText="1"/>
    </xf>
    <xf numFmtId="37" fontId="7" fillId="0" borderId="29" xfId="1" applyNumberFormat="1" applyFont="1" applyBorder="1" applyAlignment="1">
      <alignment horizontal="right" vertical="top" wrapText="1"/>
    </xf>
    <xf numFmtId="3" fontId="7" fillId="0" borderId="4" xfId="8" applyNumberFormat="1" applyFont="1" applyBorder="1"/>
    <xf numFmtId="167" fontId="7" fillId="0" borderId="4" xfId="1" applyNumberFormat="1" applyFont="1" applyBorder="1"/>
    <xf numFmtId="3" fontId="7" fillId="0" borderId="28" xfId="8" applyNumberFormat="1" applyFont="1" applyBorder="1"/>
    <xf numFmtId="0" fontId="2" fillId="0" borderId="0" xfId="8" applyFont="1" applyBorder="1" applyAlignment="1">
      <alignment horizontal="right" vertical="top" wrapText="1"/>
    </xf>
    <xf numFmtId="6" fontId="2" fillId="0" borderId="0" xfId="8" applyNumberFormat="1" applyFont="1" applyBorder="1" applyAlignment="1">
      <alignment horizontal="right" vertical="top" wrapText="1"/>
    </xf>
    <xf numFmtId="10" fontId="7" fillId="0" borderId="0" xfId="8" applyNumberFormat="1" applyFont="1" applyBorder="1" applyAlignment="1">
      <alignment horizontal="right" vertical="top" wrapText="1"/>
    </xf>
    <xf numFmtId="10" fontId="7" fillId="0" borderId="4" xfId="10" applyNumberFormat="1" applyFont="1" applyBorder="1"/>
    <xf numFmtId="3" fontId="7" fillId="0" borderId="29" xfId="8" applyNumberFormat="1" applyFont="1" applyBorder="1"/>
    <xf numFmtId="10" fontId="7" fillId="0" borderId="29" xfId="10" applyNumberFormat="1" applyFont="1" applyBorder="1"/>
    <xf numFmtId="10" fontId="7" fillId="0" borderId="28" xfId="10" applyNumberFormat="1" applyFont="1" applyBorder="1"/>
    <xf numFmtId="38" fontId="7" fillId="0" borderId="4" xfId="8" applyNumberFormat="1" applyFont="1" applyBorder="1"/>
    <xf numFmtId="3" fontId="14" fillId="0" borderId="4" xfId="9" applyNumberFormat="1" applyFont="1" applyFill="1" applyBorder="1" applyAlignment="1">
      <alignment horizontal="right" vertical="top"/>
    </xf>
    <xf numFmtId="3" fontId="14" fillId="0" borderId="28" xfId="9" applyNumberFormat="1" applyFont="1" applyFill="1" applyBorder="1" applyAlignment="1">
      <alignment horizontal="right" vertical="top"/>
    </xf>
    <xf numFmtId="10" fontId="14" fillId="0" borderId="4" xfId="9" applyNumberFormat="1" applyFont="1" applyFill="1" applyBorder="1" applyAlignment="1">
      <alignment horizontal="right" vertical="top"/>
    </xf>
    <xf numFmtId="10" fontId="14" fillId="0" borderId="28" xfId="9" applyNumberFormat="1" applyFont="1" applyFill="1" applyBorder="1" applyAlignment="1">
      <alignment horizontal="right" vertical="top"/>
    </xf>
    <xf numFmtId="10" fontId="14" fillId="0" borderId="33" xfId="9" applyNumberFormat="1" applyFont="1" applyFill="1" applyBorder="1" applyAlignment="1">
      <alignment horizontal="right" vertical="top"/>
    </xf>
    <xf numFmtId="0" fontId="18" fillId="0" borderId="0" xfId="8" applyFont="1" applyBorder="1" applyAlignment="1">
      <alignment horizontal="center"/>
    </xf>
    <xf numFmtId="0" fontId="19" fillId="0" borderId="0" xfId="8" applyFont="1"/>
    <xf numFmtId="0" fontId="18" fillId="0" borderId="0" xfId="8" applyFont="1"/>
    <xf numFmtId="164" fontId="18" fillId="0" borderId="0" xfId="8" applyNumberFormat="1" applyFont="1" applyAlignment="1">
      <alignment horizontal="left"/>
    </xf>
    <xf numFmtId="0" fontId="20" fillId="2" borderId="2" xfId="8" applyFont="1" applyFill="1" applyBorder="1" applyAlignment="1">
      <alignment horizontal="center" wrapText="1"/>
    </xf>
    <xf numFmtId="6" fontId="18" fillId="0" borderId="3" xfId="8" applyNumberFormat="1" applyFont="1" applyBorder="1" applyAlignment="1">
      <alignment horizontal="right" vertical="top" wrapText="1"/>
    </xf>
    <xf numFmtId="10" fontId="18" fillId="0" borderId="3" xfId="8" applyNumberFormat="1" applyFont="1" applyBorder="1" applyAlignment="1">
      <alignment horizontal="right" vertical="top" wrapText="1"/>
    </xf>
    <xf numFmtId="6" fontId="18" fillId="0" borderId="4" xfId="8" applyNumberFormat="1" applyFont="1" applyBorder="1"/>
    <xf numFmtId="38" fontId="18" fillId="0" borderId="3" xfId="8" applyNumberFormat="1" applyFont="1" applyBorder="1" applyAlignment="1">
      <alignment horizontal="right" vertical="top" wrapText="1"/>
    </xf>
    <xf numFmtId="6" fontId="18" fillId="0" borderId="4" xfId="8" applyNumberFormat="1" applyFont="1" applyBorder="1" applyAlignment="1">
      <alignment horizontal="right" vertical="top" wrapText="1"/>
    </xf>
    <xf numFmtId="0" fontId="20" fillId="2" borderId="4" xfId="8" applyFont="1" applyFill="1" applyBorder="1" applyAlignment="1">
      <alignment horizontal="center" wrapText="1"/>
    </xf>
    <xf numFmtId="0" fontId="18" fillId="0" borderId="0" xfId="8" applyFont="1" applyBorder="1" applyAlignment="1">
      <alignment horizontal="right" vertical="top" wrapText="1"/>
    </xf>
    <xf numFmtId="6" fontId="18" fillId="0" borderId="0" xfId="8" applyNumberFormat="1" applyFont="1" applyBorder="1" applyAlignment="1">
      <alignment horizontal="right" vertical="top" wrapText="1"/>
    </xf>
    <xf numFmtId="10" fontId="18" fillId="0" borderId="0" xfId="8" applyNumberFormat="1" applyFont="1" applyBorder="1" applyAlignment="1">
      <alignment horizontal="right" vertical="top" wrapText="1"/>
    </xf>
    <xf numFmtId="8" fontId="18" fillId="0" borderId="0" xfId="8" applyNumberFormat="1" applyFont="1" applyBorder="1"/>
    <xf numFmtId="0" fontId="17" fillId="0" borderId="0" xfId="8" applyFont="1" applyAlignment="1">
      <alignment horizontal="right"/>
    </xf>
    <xf numFmtId="0" fontId="17" fillId="0" borderId="1" xfId="8" applyFont="1" applyBorder="1"/>
    <xf numFmtId="0" fontId="20" fillId="2" borderId="4" xfId="8" applyFont="1" applyFill="1" applyBorder="1" applyAlignment="1">
      <alignment horizontal="center" wrapText="1"/>
    </xf>
    <xf numFmtId="0" fontId="20" fillId="2" borderId="4" xfId="8" applyFont="1" applyFill="1" applyBorder="1" applyAlignment="1">
      <alignment horizontal="center" wrapText="1"/>
    </xf>
    <xf numFmtId="0" fontId="20" fillId="2" borderId="4" xfId="8" applyFont="1" applyFill="1" applyBorder="1" applyAlignment="1">
      <alignment horizontal="center" wrapText="1"/>
    </xf>
    <xf numFmtId="0" fontId="18" fillId="0" borderId="4" xfId="8" applyFont="1" applyBorder="1" applyAlignment="1">
      <alignment horizontal="left" vertical="top" wrapText="1"/>
    </xf>
    <xf numFmtId="0" fontId="4" fillId="0" borderId="0" xfId="8" applyFont="1" applyAlignment="1">
      <alignment horizontal="left" vertical="center"/>
    </xf>
    <xf numFmtId="0" fontId="18" fillId="0" borderId="0" xfId="8" applyFont="1" applyAlignment="1">
      <alignment horizontal="left" vertical="top" wrapText="1"/>
    </xf>
    <xf numFmtId="0" fontId="18" fillId="0" borderId="0" xfId="8" applyFont="1" applyAlignment="1">
      <alignment horizontal="center"/>
    </xf>
    <xf numFmtId="0" fontId="20" fillId="2" borderId="4" xfId="8" applyFont="1" applyFill="1" applyBorder="1" applyAlignment="1">
      <alignment horizontal="center" wrapText="1"/>
    </xf>
    <xf numFmtId="0" fontId="18" fillId="0" borderId="15" xfId="8" applyFont="1" applyBorder="1" applyAlignment="1">
      <alignment horizontal="left" vertical="top" wrapText="1"/>
    </xf>
    <xf numFmtId="0" fontId="18" fillId="0" borderId="2" xfId="8" applyFont="1" applyBorder="1" applyAlignment="1">
      <alignment horizontal="left" vertical="top" wrapText="1"/>
    </xf>
    <xf numFmtId="0" fontId="18" fillId="0" borderId="4" xfId="8" applyFont="1" applyBorder="1" applyAlignment="1">
      <alignment horizontal="right" vertical="top" wrapText="1"/>
    </xf>
    <xf numFmtId="0" fontId="18" fillId="2" borderId="4" xfId="8" applyFont="1" applyFill="1" applyBorder="1" applyAlignment="1">
      <alignment horizontal="left"/>
    </xf>
    <xf numFmtId="0" fontId="18" fillId="0" borderId="15" xfId="8" applyFont="1" applyBorder="1" applyAlignment="1">
      <alignment horizontal="right" vertical="top" wrapText="1"/>
    </xf>
    <xf numFmtId="0" fontId="18" fillId="0" borderId="2" xfId="8" applyFont="1" applyBorder="1" applyAlignment="1">
      <alignment horizontal="right" vertical="top" wrapText="1"/>
    </xf>
    <xf numFmtId="0" fontId="7" fillId="0" borderId="0" xfId="8" applyFont="1" applyAlignment="1">
      <alignment horizontal="left" vertical="top" wrapText="1"/>
    </xf>
    <xf numFmtId="0" fontId="7" fillId="0" borderId="0" xfId="8" applyFont="1" applyAlignment="1">
      <alignment horizontal="center"/>
    </xf>
    <xf numFmtId="0" fontId="8" fillId="2" borderId="4" xfId="8" applyFont="1" applyFill="1" applyBorder="1" applyAlignment="1">
      <alignment horizontal="center" wrapText="1"/>
    </xf>
    <xf numFmtId="0" fontId="7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horizontal="right" vertical="top" wrapText="1"/>
    </xf>
    <xf numFmtId="0" fontId="7" fillId="2" borderId="4" xfId="8" applyFont="1" applyFill="1" applyBorder="1" applyAlignment="1">
      <alignment horizontal="left"/>
    </xf>
    <xf numFmtId="0" fontId="2" fillId="0" borderId="15" xfId="8" applyFont="1" applyBorder="1" applyAlignment="1">
      <alignment horizontal="left" vertical="top" wrapText="1"/>
    </xf>
    <xf numFmtId="0" fontId="2" fillId="0" borderId="2" xfId="8" applyFont="1" applyBorder="1" applyAlignment="1">
      <alignment horizontal="left" vertical="top" wrapText="1"/>
    </xf>
    <xf numFmtId="0" fontId="2" fillId="0" borderId="15" xfId="8" applyFont="1" applyBorder="1" applyAlignment="1">
      <alignment horizontal="right" vertical="top" wrapText="1"/>
    </xf>
    <xf numFmtId="0" fontId="2" fillId="0" borderId="2" xfId="8" applyFont="1" applyBorder="1" applyAlignment="1">
      <alignment horizontal="right" vertical="top" wrapText="1"/>
    </xf>
    <xf numFmtId="0" fontId="16" fillId="0" borderId="31" xfId="8" applyFont="1" applyBorder="1" applyAlignment="1">
      <alignment horizontal="center" vertical="top" wrapText="1"/>
    </xf>
    <xf numFmtId="0" fontId="13" fillId="3" borderId="9" xfId="2" applyFont="1" applyFill="1" applyBorder="1" applyAlignment="1">
      <alignment horizontal="center" vertical="top" wrapText="1"/>
    </xf>
    <xf numFmtId="0" fontId="13" fillId="3" borderId="32" xfId="2" applyFont="1" applyFill="1" applyBorder="1" applyAlignment="1">
      <alignment horizontal="center" vertical="top" wrapText="1"/>
    </xf>
  </cellXfs>
  <cellStyles count="11">
    <cellStyle name="Currency" xfId="1" builtinId="4"/>
    <cellStyle name="Normal" xfId="0" builtinId="0"/>
    <cellStyle name="Normal_001 2010 Fund Revenue summary - by basic activity" xfId="2"/>
    <cellStyle name="Normal_2008 001 Expenditures by Function Area by actual month" xfId="3"/>
    <cellStyle name="Normal_2008 001 Revenue summary - by basic activity by actual month" xfId="4"/>
    <cellStyle name="Normal_2009 001 Expenditures by Function Area by actual month" xfId="5"/>
    <cellStyle name="Normal_2009 001 Revenue summary - by basic activity by actual month" xfId="6"/>
    <cellStyle name="Normal_2010 001 Expenditures and budget by Function Area - single fund" xfId="7"/>
    <cellStyle name="Normal_General Fund 4th Quarter Report 2007" xfId="8"/>
    <cellStyle name="Normal_Monthly Revenue Report 2007" xfId="9"/>
    <cellStyle name="Percent" xfId="10" builtinId="5"/>
  </cellStyles>
  <dxfs count="0"/>
  <tableStyles count="0" defaultTableStyle="TableStyleMedium9" defaultPivotStyle="PivotStyleLight16"/>
  <colors>
    <mruColors>
      <color rgb="FFFFFFCC"/>
      <color rgb="FF0066CC"/>
      <color rgb="FF84E175"/>
      <color rgb="FFFBCBA3"/>
      <color rgb="FFFD56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Revenue by Source</a:t>
            </a:r>
          </a:p>
        </c:rich>
      </c:tx>
      <c:layout>
        <c:manualLayout>
          <c:xMode val="edge"/>
          <c:yMode val="edge"/>
          <c:x val="0.25494978803726798"/>
          <c:y val="1.4084503673942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GF'!$D$16</c:f>
              <c:strCache>
                <c:ptCount val="1"/>
                <c:pt idx="0">
                  <c:v>YTD Collections as of 10/7/13</c:v>
                </c:pt>
              </c:strCache>
            </c:strRef>
          </c:tx>
          <c:invertIfNegative val="0"/>
          <c:cat>
            <c:strRef>
              <c:f>'2013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Q4 GF'!$D$17:$D$23</c:f>
              <c:numCache>
                <c:formatCode>#,##0_);[Red]\(#,##0\)</c:formatCode>
                <c:ptCount val="7"/>
                <c:pt idx="0" formatCode="&quot;$&quot;#,##0_);[Red]\(&quot;$&quot;#,##0\)">
                  <c:v>129109429</c:v>
                </c:pt>
                <c:pt idx="1">
                  <c:v>378671</c:v>
                </c:pt>
                <c:pt idx="2">
                  <c:v>4162983</c:v>
                </c:pt>
                <c:pt idx="3">
                  <c:v>18191653</c:v>
                </c:pt>
                <c:pt idx="4">
                  <c:v>2123859</c:v>
                </c:pt>
                <c:pt idx="5">
                  <c:v>733535</c:v>
                </c:pt>
                <c:pt idx="6">
                  <c:v>2881528</c:v>
                </c:pt>
              </c:numCache>
            </c:numRef>
          </c:val>
        </c:ser>
        <c:ser>
          <c:idx val="1"/>
          <c:order val="1"/>
          <c:tx>
            <c:strRef>
              <c:f>'2013 Q4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Q4 GF'!$H$17:$H$23</c:f>
              <c:numCache>
                <c:formatCode>#,##0_);[Red]\(#,##0\)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71197</c:v>
                </c:pt>
                <c:pt idx="4">
                  <c:v>0</c:v>
                </c:pt>
                <c:pt idx="5">
                  <c:v>802946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66112"/>
        <c:axId val="35868032"/>
      </c:barChart>
      <c:lineChart>
        <c:grouping val="stacked"/>
        <c:varyColors val="0"/>
        <c:ser>
          <c:idx val="2"/>
          <c:order val="2"/>
          <c:tx>
            <c:strRef>
              <c:f>'2013 Q4 GF'!$I$16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GF'!$I$17:$I$23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6112"/>
        <c:axId val="35868032"/>
      </c:lineChart>
      <c:catAx>
        <c:axId val="358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586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68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86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572890778033278"/>
          <c:y val="0.92328400863331717"/>
          <c:w val="0.62344025580873186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Expenditures by Function Area</a:t>
            </a:r>
          </a:p>
        </c:rich>
      </c:tx>
      <c:layout>
        <c:manualLayout>
          <c:xMode val="edge"/>
          <c:yMode val="edge"/>
          <c:x val="0.12013194725281696"/>
          <c:y val="2.14970454896346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845065891428E-2"/>
          <c:y val="9.492849300480169E-2"/>
          <c:w val="0.87525638132381489"/>
          <c:h val="0.68009580934544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GF'!$D$48</c:f>
              <c:strCache>
                <c:ptCount val="1"/>
                <c:pt idx="0">
                  <c:v>YTD Expenditures as of 7/15/13</c:v>
                </c:pt>
              </c:strCache>
            </c:strRef>
          </c:tx>
          <c:invertIfNegative val="0"/>
          <c:cat>
            <c:strRef>
              <c:f>'2013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Transfers/Unclassified</c:v>
                </c:pt>
              </c:strCache>
            </c:strRef>
          </c:cat>
          <c:val>
            <c:numRef>
              <c:f>'2013 Q3 GF'!$D$49:$D$59</c:f>
              <c:numCache>
                <c:formatCode>#,##0_);[Red]\(#,##0\)</c:formatCode>
                <c:ptCount val="11"/>
                <c:pt idx="0" formatCode="&quot;$&quot;#,##0_);[Red]\(&quot;$&quot;#,##0\)">
                  <c:v>172362</c:v>
                </c:pt>
                <c:pt idx="1">
                  <c:v>658981</c:v>
                </c:pt>
                <c:pt idx="2">
                  <c:v>1844089</c:v>
                </c:pt>
                <c:pt idx="3">
                  <c:v>7036547</c:v>
                </c:pt>
                <c:pt idx="4">
                  <c:v>19665213</c:v>
                </c:pt>
                <c:pt idx="5">
                  <c:v>9129673</c:v>
                </c:pt>
                <c:pt idx="6">
                  <c:v>10335119</c:v>
                </c:pt>
                <c:pt idx="7">
                  <c:v>7130520</c:v>
                </c:pt>
                <c:pt idx="8">
                  <c:v>7157257</c:v>
                </c:pt>
                <c:pt idx="9">
                  <c:v>37789337</c:v>
                </c:pt>
                <c:pt idx="10">
                  <c:v>1443069</c:v>
                </c:pt>
              </c:numCache>
            </c:numRef>
          </c:val>
        </c:ser>
        <c:ser>
          <c:idx val="1"/>
          <c:order val="1"/>
          <c:tx>
            <c:strRef>
              <c:f>'2013 Q3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8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9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10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cat>
            <c:strRef>
              <c:f>'2013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Transfers/Unclassified</c:v>
                </c:pt>
              </c:strCache>
            </c:strRef>
          </c:cat>
          <c:val>
            <c:numRef>
              <c:f>'2013 Q3 GF'!$H$49:$H$59</c:f>
              <c:numCache>
                <c:formatCode>#,##0</c:formatCode>
                <c:ptCount val="11"/>
                <c:pt idx="0" formatCode="&quot;$&quot;#,##0_);[Red]\(&quot;$&quot;#,##0\)">
                  <c:v>90425</c:v>
                </c:pt>
                <c:pt idx="1">
                  <c:v>209110</c:v>
                </c:pt>
                <c:pt idx="2">
                  <c:v>2003510</c:v>
                </c:pt>
                <c:pt idx="3">
                  <c:v>3550688</c:v>
                </c:pt>
                <c:pt idx="4">
                  <c:v>13002181</c:v>
                </c:pt>
                <c:pt idx="5">
                  <c:v>2637505</c:v>
                </c:pt>
                <c:pt idx="6">
                  <c:v>5042380</c:v>
                </c:pt>
                <c:pt idx="7">
                  <c:v>3421374</c:v>
                </c:pt>
                <c:pt idx="8">
                  <c:v>3491847</c:v>
                </c:pt>
                <c:pt idx="9">
                  <c:v>17297312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973312"/>
        <c:axId val="110975232"/>
      </c:barChart>
      <c:lineChart>
        <c:grouping val="stacked"/>
        <c:varyColors val="0"/>
        <c:ser>
          <c:idx val="2"/>
          <c:order val="2"/>
          <c:tx>
            <c:strRef>
              <c:f>'2013 Q3 GF'!$G$48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GF'!$I$49:$I$59</c:f>
              <c:numCache>
                <c:formatCode>0%</c:formatCode>
                <c:ptCount val="1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73312"/>
        <c:axId val="110975232"/>
      </c:lineChart>
      <c:catAx>
        <c:axId val="1109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097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75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973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4854897622102"/>
          <c:y val="0.93957689023811786"/>
          <c:w val="0.44400644986641241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58656"/>
        <c:axId val="126360192"/>
      </c:barChart>
      <c:catAx>
        <c:axId val="1263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5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94752"/>
        <c:axId val="126396288"/>
      </c:barChart>
      <c:catAx>
        <c:axId val="1263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9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39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94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94144"/>
        <c:axId val="127100032"/>
      </c:barChart>
      <c:catAx>
        <c:axId val="127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0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0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9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the 4th Quarter of Fiscal Year</a:t>
            </a:r>
          </a:p>
        </c:rich>
      </c:tx>
      <c:layout>
        <c:manualLayout>
          <c:xMode val="edge"/>
          <c:yMode val="edge"/>
          <c:x val="0.29142034236870834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GF'!$M$16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GF'!$M$17:$M$23</c:f>
              <c:numCache>
                <c:formatCode>0.00%</c:formatCode>
                <c:ptCount val="7"/>
                <c:pt idx="0">
                  <c:v>0.99652983229760383</c:v>
                </c:pt>
                <c:pt idx="1">
                  <c:v>0.625</c:v>
                </c:pt>
                <c:pt idx="2">
                  <c:v>0.91472864438483459</c:v>
                </c:pt>
                <c:pt idx="3">
                  <c:v>0.88229692581940888</c:v>
                </c:pt>
                <c:pt idx="4">
                  <c:v>0.78005726156226374</c:v>
                </c:pt>
                <c:pt idx="5">
                  <c:v>0.69514704033140884</c:v>
                </c:pt>
                <c:pt idx="6">
                  <c:v>1.1013193473193474</c:v>
                </c:pt>
              </c:numCache>
            </c:numRef>
          </c:val>
        </c:ser>
        <c:ser>
          <c:idx val="1"/>
          <c:order val="1"/>
          <c:tx>
            <c:strRef>
              <c:f>'2010 Q4 GF'!$Q$16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GF'!$Q$17:$Q$23</c:f>
              <c:numCache>
                <c:formatCode>0.00%</c:formatCode>
                <c:ptCount val="7"/>
                <c:pt idx="0">
                  <c:v>0.99831045713616318</c:v>
                </c:pt>
                <c:pt idx="1">
                  <c:v>1</c:v>
                </c:pt>
                <c:pt idx="2">
                  <c:v>0.99852085449258454</c:v>
                </c:pt>
                <c:pt idx="3">
                  <c:v>0.9810958404600193</c:v>
                </c:pt>
                <c:pt idx="4">
                  <c:v>0.9828365809697126</c:v>
                </c:pt>
                <c:pt idx="5">
                  <c:v>0.99944614075874028</c:v>
                </c:pt>
                <c:pt idx="6">
                  <c:v>0.99277479163495741</c:v>
                </c:pt>
              </c:numCache>
            </c:numRef>
          </c:val>
        </c:ser>
        <c:ser>
          <c:idx val="2"/>
          <c:order val="2"/>
          <c:tx>
            <c:strRef>
              <c:f>'2010 Q4 GF'!$U$16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GF'!$U$17:$U$23</c:f>
              <c:numCache>
                <c:formatCode>0.00%</c:formatCode>
                <c:ptCount val="7"/>
                <c:pt idx="0">
                  <c:v>1.0000000000000002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38432"/>
        <c:axId val="127144320"/>
      </c:barChart>
      <c:catAx>
        <c:axId val="127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14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443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138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7831432578"/>
          <c:y val="0.91525690644601632"/>
          <c:w val="0.21745584899232728"/>
          <c:h val="6.77969067425894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the 4th Quarter of Fiscal Year</a:t>
            </a:r>
          </a:p>
        </c:rich>
      </c:tx>
      <c:layout>
        <c:manualLayout>
          <c:xMode val="edge"/>
          <c:yMode val="edge"/>
          <c:x val="0.29607252194837219"/>
          <c:y val="3.009255422019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GF'!$M$48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&amp;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Q4 GF'!$M$49:$M$59</c:f>
              <c:numCache>
                <c:formatCode>0.00%</c:formatCode>
                <c:ptCount val="11"/>
                <c:pt idx="0">
                  <c:v>0.88779726012905957</c:v>
                </c:pt>
                <c:pt idx="1">
                  <c:v>1.0305216471789387</c:v>
                </c:pt>
                <c:pt idx="2">
                  <c:v>0.82334401772915111</c:v>
                </c:pt>
                <c:pt idx="3">
                  <c:v>0.93240581356412167</c:v>
                </c:pt>
                <c:pt idx="4">
                  <c:v>0.79497428981161977</c:v>
                </c:pt>
                <c:pt idx="5">
                  <c:v>0.93447041949617571</c:v>
                </c:pt>
                <c:pt idx="6">
                  <c:v>0.92522154236963361</c:v>
                </c:pt>
                <c:pt idx="7">
                  <c:v>0.95671528412622076</c:v>
                </c:pt>
                <c:pt idx="8">
                  <c:v>0.85987143755013418</c:v>
                </c:pt>
                <c:pt idx="9">
                  <c:v>0.96601825992031931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1"/>
          <c:tx>
            <c:strRef>
              <c:f>'2010 Q4 GF'!$Q$48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GF'!$Q$49:$Q$59</c:f>
              <c:numCache>
                <c:formatCode>0.00%</c:formatCode>
                <c:ptCount val="11"/>
                <c:pt idx="0">
                  <c:v>0.9032246622994522</c:v>
                </c:pt>
                <c:pt idx="1">
                  <c:v>0.9722252679428649</c:v>
                </c:pt>
                <c:pt idx="2">
                  <c:v>0.79914891635330043</c:v>
                </c:pt>
                <c:pt idx="3">
                  <c:v>0.93059311151453006</c:v>
                </c:pt>
                <c:pt idx="4">
                  <c:v>0.66010099763792907</c:v>
                </c:pt>
                <c:pt idx="5">
                  <c:v>0.98249967028930962</c:v>
                </c:pt>
                <c:pt idx="6">
                  <c:v>0.92512657692668887</c:v>
                </c:pt>
                <c:pt idx="7">
                  <c:v>0.95716377753209736</c:v>
                </c:pt>
                <c:pt idx="8">
                  <c:v>0.88906449410421085</c:v>
                </c:pt>
                <c:pt idx="9">
                  <c:v>0.97622472556607387</c:v>
                </c:pt>
                <c:pt idx="10">
                  <c:v>1.0819622034635226</c:v>
                </c:pt>
              </c:numCache>
            </c:numRef>
          </c:val>
        </c:ser>
        <c:ser>
          <c:idx val="2"/>
          <c:order val="2"/>
          <c:tx>
            <c:strRef>
              <c:f>'2010 Q4 GF'!$W$48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GF'!$W$49:$W$59</c:f>
              <c:numCache>
                <c:formatCode>0.00%</c:formatCode>
                <c:ptCount val="11"/>
                <c:pt idx="0">
                  <c:v>0.91356968140214934</c:v>
                </c:pt>
                <c:pt idx="1">
                  <c:v>0.92792860705688451</c:v>
                </c:pt>
                <c:pt idx="2">
                  <c:v>1.1826490426006251</c:v>
                </c:pt>
                <c:pt idx="3">
                  <c:v>0.9788877209290423</c:v>
                </c:pt>
                <c:pt idx="4">
                  <c:v>0.64010420902575316</c:v>
                </c:pt>
                <c:pt idx="5">
                  <c:v>1.0501811975433417</c:v>
                </c:pt>
                <c:pt idx="6">
                  <c:v>0.98818768452786376</c:v>
                </c:pt>
                <c:pt idx="7">
                  <c:v>0.97609982482539359</c:v>
                </c:pt>
                <c:pt idx="8">
                  <c:v>0.99226576296746927</c:v>
                </c:pt>
                <c:pt idx="9">
                  <c:v>0.99449215271522828</c:v>
                </c:pt>
                <c:pt idx="10">
                  <c:v>1.9991913210041106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78624"/>
        <c:axId val="127180160"/>
      </c:barChart>
      <c:catAx>
        <c:axId val="1271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18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801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17862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390258138"/>
          <c:y val="0.93287254425004662"/>
          <c:w val="0.2175226432550697"/>
          <c:h val="5.3240839174279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Revenue by Source</a:t>
            </a:r>
          </a:p>
        </c:rich>
      </c:tx>
      <c:layout>
        <c:manualLayout>
          <c:xMode val="edge"/>
          <c:yMode val="edge"/>
          <c:x val="0.2637853601633129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GF'!$D$16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GF'!$D$17:$D$23</c:f>
              <c:numCache>
                <c:formatCode>_(* #,##0_);_(* \(#,##0\);_(* "-"??_);_(@_)</c:formatCode>
                <c:ptCount val="7"/>
                <c:pt idx="0" formatCode="&quot;$&quot;#,##0_);[Red]\(&quot;$&quot;#,##0\)">
                  <c:v>129447511.40000001</c:v>
                </c:pt>
                <c:pt idx="1">
                  <c:v>2500</c:v>
                </c:pt>
                <c:pt idx="2">
                  <c:v>2353506.14</c:v>
                </c:pt>
                <c:pt idx="3">
                  <c:v>11247465.740000002</c:v>
                </c:pt>
                <c:pt idx="4">
                  <c:v>1313542.2</c:v>
                </c:pt>
                <c:pt idx="5">
                  <c:v>1514494.0499999998</c:v>
                </c:pt>
                <c:pt idx="6">
                  <c:v>508163.77999999997</c:v>
                </c:pt>
              </c:numCache>
            </c:numRef>
          </c:val>
        </c:ser>
        <c:ser>
          <c:idx val="1"/>
          <c:order val="1"/>
          <c:tx>
            <c:strRef>
              <c:f>'2010 Q3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GF'!$H$17:$H$23</c:f>
              <c:numCache>
                <c:formatCode>"$"#,##0_);[Red]\("$"#,##0\)</c:formatCode>
                <c:ptCount val="7"/>
                <c:pt idx="0">
                  <c:v>1003218.599999994</c:v>
                </c:pt>
                <c:pt idx="1">
                  <c:v>1500</c:v>
                </c:pt>
                <c:pt idx="2" formatCode="#,##0_);[Red]\(#,##0\)">
                  <c:v>1193628.8599999999</c:v>
                </c:pt>
                <c:pt idx="3" formatCode="#,##0_);[Red]\(#,##0\)">
                  <c:v>5709638.2599999979</c:v>
                </c:pt>
                <c:pt idx="4" formatCode="#,##0_);[Red]\(#,##0\)">
                  <c:v>987477.8</c:v>
                </c:pt>
                <c:pt idx="5" formatCode="#,##0_);[Red]\(#,##0\)">
                  <c:v>1618795.9500000002</c:v>
                </c:pt>
                <c:pt idx="6" formatCode="#,##0_);[Red]\(#,##0\)">
                  <c:v>55971.22000000003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924288"/>
        <c:axId val="126926208"/>
      </c:barChart>
      <c:lineChart>
        <c:grouping val="stacked"/>
        <c:varyColors val="0"/>
        <c:ser>
          <c:idx val="2"/>
          <c:order val="2"/>
          <c:tx>
            <c:strRef>
              <c:f>'2010 Q3 GF'!$I$16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GF'!$I$17:$I$23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4288"/>
        <c:axId val="126926208"/>
      </c:lineChart>
      <c:catAx>
        <c:axId val="1269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9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92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8352446935"/>
          <c:y val="0.93239554914790579"/>
          <c:w val="0.47988082570759732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Expenditures by Function Area</a:t>
            </a:r>
          </a:p>
        </c:rich>
      </c:tx>
      <c:layout>
        <c:manualLayout>
          <c:xMode val="edge"/>
          <c:yMode val="edge"/>
          <c:x val="0.2116243802857976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GF'!$D$48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Q3 GF'!$D$49:$D$59</c:f>
              <c:numCache>
                <c:formatCode>_(* #,##0_);_(* \(#,##0\);_(* "-"??_);_(@_)</c:formatCode>
                <c:ptCount val="11"/>
                <c:pt idx="0" formatCode="&quot;$&quot;#,##0_);[Red]\(&quot;$&quot;#,##0\)">
                  <c:v>200368.58</c:v>
                </c:pt>
                <c:pt idx="1">
                  <c:v>383143.79</c:v>
                </c:pt>
                <c:pt idx="2">
                  <c:v>2193821.02</c:v>
                </c:pt>
                <c:pt idx="3">
                  <c:v>7648186.1399999997</c:v>
                </c:pt>
                <c:pt idx="4">
                  <c:v>19505690.91</c:v>
                </c:pt>
                <c:pt idx="5">
                  <c:v>7927464.3200000003</c:v>
                </c:pt>
                <c:pt idx="6">
                  <c:v>10275613.33</c:v>
                </c:pt>
                <c:pt idx="7">
                  <c:v>7817873.0199999996</c:v>
                </c:pt>
                <c:pt idx="8">
                  <c:v>6861788.5899999999</c:v>
                </c:pt>
                <c:pt idx="9">
                  <c:v>33909150.039999999</c:v>
                </c:pt>
                <c:pt idx="10">
                  <c:v>8420000</c:v>
                </c:pt>
              </c:numCache>
            </c:numRef>
          </c:val>
        </c:ser>
        <c:ser>
          <c:idx val="1"/>
          <c:order val="1"/>
          <c:tx>
            <c:strRef>
              <c:f>'2010 Q3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Q3 GF'!$H$49:$H$59</c:f>
              <c:numCache>
                <c:formatCode>#,##0</c:formatCode>
                <c:ptCount val="11"/>
                <c:pt idx="0" formatCode="&quot;$&quot;#,##0_);[Red]\(&quot;$&quot;#,##0\)">
                  <c:v>102127.42000000001</c:v>
                </c:pt>
                <c:pt idx="1">
                  <c:v>28226.210000000021</c:v>
                </c:pt>
                <c:pt idx="2">
                  <c:v>1069504.98</c:v>
                </c:pt>
                <c:pt idx="3">
                  <c:v>2956392.8600000003</c:v>
                </c:pt>
                <c:pt idx="4">
                  <c:v>16527495.09</c:v>
                </c:pt>
                <c:pt idx="5">
                  <c:v>3675549.6799999997</c:v>
                </c:pt>
                <c:pt idx="6">
                  <c:v>4466961.67</c:v>
                </c:pt>
                <c:pt idx="7">
                  <c:v>2957953.9800000004</c:v>
                </c:pt>
                <c:pt idx="8">
                  <c:v>3919275.41</c:v>
                </c:pt>
                <c:pt idx="9">
                  <c:v>12062353.960000001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973056"/>
        <c:axId val="126974976"/>
      </c:barChart>
      <c:lineChart>
        <c:grouping val="stacked"/>
        <c:varyColors val="0"/>
        <c:ser>
          <c:idx val="2"/>
          <c:order val="2"/>
          <c:tx>
            <c:strRef>
              <c:f>'2010 Q3 GF'!$G$48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GF'!$I$49:$I$59</c:f>
              <c:numCache>
                <c:formatCode>0%</c:formatCode>
                <c:ptCount val="1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3056"/>
        <c:axId val="126974976"/>
      </c:lineChart>
      <c:catAx>
        <c:axId val="1269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97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7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973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83381807001"/>
          <c:y val="0.95753205128205132"/>
          <c:w val="0.53502242399880195"/>
          <c:h val="3.68589743589743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17728"/>
        <c:axId val="127019264"/>
      </c:barChart>
      <c:catAx>
        <c:axId val="1270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1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66112"/>
        <c:axId val="127067648"/>
      </c:barChart>
      <c:catAx>
        <c:axId val="1270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6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6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06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60704"/>
        <c:axId val="127562496"/>
      </c:barChart>
      <c:catAx>
        <c:axId val="127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56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756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560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4752"/>
        <c:axId val="112076288"/>
      </c:barChart>
      <c:catAx>
        <c:axId val="1120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7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7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74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Q3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Q3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38752"/>
        <c:axId val="127344640"/>
      </c:barChart>
      <c:catAx>
        <c:axId val="1273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4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4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the 3rd Quarter of Fiscal Year</a:t>
            </a:r>
          </a:p>
        </c:rich>
      </c:tx>
      <c:layout>
        <c:manualLayout>
          <c:xMode val="edge"/>
          <c:yMode val="edge"/>
          <c:x val="0.2914202565215861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GF'!$M$16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Q3 GF'!$M$17:$M$23</c:f>
              <c:numCache>
                <c:formatCode>0.00%</c:formatCode>
                <c:ptCount val="7"/>
                <c:pt idx="0">
                  <c:v>0.99230959765422555</c:v>
                </c:pt>
                <c:pt idx="1">
                  <c:v>0.625</c:v>
                </c:pt>
                <c:pt idx="2">
                  <c:v>0.66349494451155655</c:v>
                </c:pt>
                <c:pt idx="3">
                  <c:v>0.66328930576824918</c:v>
                </c:pt>
                <c:pt idx="4">
                  <c:v>0.57085214383186589</c:v>
                </c:pt>
                <c:pt idx="5">
                  <c:v>0.48335584960217531</c:v>
                </c:pt>
                <c:pt idx="6">
                  <c:v>0.90078399673836929</c:v>
                </c:pt>
              </c:numCache>
            </c:numRef>
          </c:val>
        </c:ser>
        <c:ser>
          <c:idx val="1"/>
          <c:order val="1"/>
          <c:tx>
            <c:strRef>
              <c:f>'2010 Q3 GF'!$Q$16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GF'!$Q$17:$Q$23</c:f>
              <c:numCache>
                <c:formatCode>0.00%</c:formatCode>
                <c:ptCount val="7"/>
                <c:pt idx="0">
                  <c:v>0.9879313548553007</c:v>
                </c:pt>
                <c:pt idx="1">
                  <c:v>0.875</c:v>
                </c:pt>
                <c:pt idx="2">
                  <c:v>0.55877596607035307</c:v>
                </c:pt>
                <c:pt idx="3">
                  <c:v>0.72013515453758148</c:v>
                </c:pt>
                <c:pt idx="4">
                  <c:v>0.75389423662365773</c:v>
                </c:pt>
                <c:pt idx="5">
                  <c:v>0.82313838746243673</c:v>
                </c:pt>
                <c:pt idx="6">
                  <c:v>0.53794384735189016</c:v>
                </c:pt>
              </c:numCache>
            </c:numRef>
          </c:val>
        </c:ser>
        <c:ser>
          <c:idx val="2"/>
          <c:order val="2"/>
          <c:tx>
            <c:strRef>
              <c:f>'2010 Q3 GF'!$U$16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GF'!$U$17:$U$23</c:f>
              <c:numCache>
                <c:formatCode>0.00%</c:formatCode>
                <c:ptCount val="7"/>
                <c:pt idx="0">
                  <c:v>0.98536952165520142</c:v>
                </c:pt>
                <c:pt idx="1">
                  <c:v>0.75</c:v>
                </c:pt>
                <c:pt idx="2">
                  <c:v>0.58252808987338101</c:v>
                </c:pt>
                <c:pt idx="3">
                  <c:v>0.73598131714356796</c:v>
                </c:pt>
                <c:pt idx="4">
                  <c:v>0.77442373386525298</c:v>
                </c:pt>
                <c:pt idx="5">
                  <c:v>0.73468925167453281</c:v>
                </c:pt>
                <c:pt idx="6">
                  <c:v>0.18948385555925618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83040"/>
        <c:axId val="127384576"/>
      </c:barChart>
      <c:catAx>
        <c:axId val="1273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3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845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38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6716148186"/>
          <c:y val="0.91525690644601632"/>
          <c:w val="0.21745582845363409"/>
          <c:h val="6.77969067425894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the 3rd Quarter of Fiscal Year</a:t>
            </a:r>
          </a:p>
        </c:rich>
      </c:tx>
      <c:layout>
        <c:manualLayout>
          <c:xMode val="edge"/>
          <c:yMode val="edge"/>
          <c:x val="0.2945618555671408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GF'!$M$48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Q3 GF'!$M$49:$M$59</c:f>
              <c:numCache>
                <c:formatCode>0.00%</c:formatCode>
                <c:ptCount val="11"/>
                <c:pt idx="0">
                  <c:v>0.66238422987411405</c:v>
                </c:pt>
                <c:pt idx="1">
                  <c:v>0.9313848603447018</c:v>
                </c:pt>
                <c:pt idx="2">
                  <c:v>0.67226535749109961</c:v>
                </c:pt>
                <c:pt idx="3">
                  <c:v>0.7212154428761387</c:v>
                </c:pt>
                <c:pt idx="4">
                  <c:v>0.54132573539292361</c:v>
                </c:pt>
                <c:pt idx="5">
                  <c:v>0.68322457595931541</c:v>
                </c:pt>
                <c:pt idx="6">
                  <c:v>0.69700261521477758</c:v>
                </c:pt>
                <c:pt idx="7">
                  <c:v>0.72550097732638053</c:v>
                </c:pt>
                <c:pt idx="8">
                  <c:v>0.63646673371014217</c:v>
                </c:pt>
                <c:pt idx="9">
                  <c:v>0.7376123704806351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1"/>
          <c:tx>
            <c:strRef>
              <c:f>'2010 Q3 GF'!$Q$48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GF'!$Q$49:$Q$59</c:f>
              <c:numCache>
                <c:formatCode>0.00%</c:formatCode>
                <c:ptCount val="11"/>
                <c:pt idx="0">
                  <c:v>0.61271828215673207</c:v>
                </c:pt>
                <c:pt idx="1">
                  <c:v>0.90166265650410482</c:v>
                </c:pt>
                <c:pt idx="2">
                  <c:v>0.63368762741586138</c:v>
                </c:pt>
                <c:pt idx="3">
                  <c:v>0.66761999220812263</c:v>
                </c:pt>
                <c:pt idx="4">
                  <c:v>0.5365988399968783</c:v>
                </c:pt>
                <c:pt idx="5">
                  <c:v>0.72889778142636663</c:v>
                </c:pt>
                <c:pt idx="6">
                  <c:v>0.67309601892566395</c:v>
                </c:pt>
                <c:pt idx="7">
                  <c:v>0.68989667275131938</c:v>
                </c:pt>
                <c:pt idx="8">
                  <c:v>0.64391599774835673</c:v>
                </c:pt>
                <c:pt idx="9">
                  <c:v>0.71761090730877197</c:v>
                </c:pt>
                <c:pt idx="10">
                  <c:v>1.0062660043625347</c:v>
                </c:pt>
              </c:numCache>
            </c:numRef>
          </c:val>
        </c:ser>
        <c:ser>
          <c:idx val="2"/>
          <c:order val="2"/>
          <c:tx>
            <c:strRef>
              <c:f>'2010 Q3 GF'!$W$48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GF'!$W$49:$W$59</c:f>
              <c:numCache>
                <c:formatCode>0.00%</c:formatCode>
                <c:ptCount val="11"/>
                <c:pt idx="0">
                  <c:v>0.61234942159501227</c:v>
                </c:pt>
                <c:pt idx="1">
                  <c:v>0.89230821279087436</c:v>
                </c:pt>
                <c:pt idx="2">
                  <c:v>0.84473176996114518</c:v>
                </c:pt>
                <c:pt idx="3">
                  <c:v>0.68193609411367384</c:v>
                </c:pt>
                <c:pt idx="4">
                  <c:v>0.48836799511245282</c:v>
                </c:pt>
                <c:pt idx="5">
                  <c:v>0.73526126266166181</c:v>
                </c:pt>
                <c:pt idx="6">
                  <c:v>0.70045682851457924</c:v>
                </c:pt>
                <c:pt idx="7">
                  <c:v>0.69898821399954358</c:v>
                </c:pt>
                <c:pt idx="8">
                  <c:v>0.67309544489715079</c:v>
                </c:pt>
                <c:pt idx="9">
                  <c:v>0.71489347082068921</c:v>
                </c:pt>
                <c:pt idx="10">
                  <c:v>0.89383457429893021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23232"/>
        <c:axId val="127424768"/>
      </c:barChart>
      <c:catAx>
        <c:axId val="1274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42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247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42323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100157"/>
          <c:y val="0.96373675512783119"/>
          <c:w val="0.21752258136682689"/>
          <c:h val="3.16358024691357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Revenue by Source</a:t>
            </a:r>
          </a:p>
        </c:rich>
      </c:tx>
      <c:layout>
        <c:manualLayout>
          <c:xMode val="edge"/>
          <c:yMode val="edge"/>
          <c:x val="0.2637853949329359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GF'!$D$16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GF'!$D$17:$D$23</c:f>
              <c:numCache>
                <c:formatCode>_(* #,##0_);_(* \(#,##0\);_(* "-"??_);_(@_)</c:formatCode>
                <c:ptCount val="7"/>
                <c:pt idx="0" formatCode="&quot;$&quot;#,##0_);[Red]\(&quot;$&quot;#,##0\)">
                  <c:v>125779425.78</c:v>
                </c:pt>
                <c:pt idx="1">
                  <c:v>1500</c:v>
                </c:pt>
                <c:pt idx="2">
                  <c:v>924045.65999999992</c:v>
                </c:pt>
                <c:pt idx="3">
                  <c:v>6279401.1600000001</c:v>
                </c:pt>
                <c:pt idx="4">
                  <c:v>699335.52</c:v>
                </c:pt>
                <c:pt idx="5">
                  <c:v>454566.44</c:v>
                </c:pt>
                <c:pt idx="6" formatCode="#,##0">
                  <c:v>346466.67</c:v>
                </c:pt>
              </c:numCache>
            </c:numRef>
          </c:val>
        </c:ser>
        <c:ser>
          <c:idx val="1"/>
          <c:order val="1"/>
          <c:tx>
            <c:strRef>
              <c:f>'2010 Q2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GF'!$H$17:$H$23</c:f>
              <c:numCache>
                <c:formatCode>"$"#,##0_);[Red]\("$"#,##0\)</c:formatCode>
                <c:ptCount val="7"/>
                <c:pt idx="0">
                  <c:v>4671304.2199999988</c:v>
                </c:pt>
                <c:pt idx="1">
                  <c:v>2500</c:v>
                </c:pt>
                <c:pt idx="2" formatCode="#,##0_);[Red]\(#,##0\)">
                  <c:v>2623089.34</c:v>
                </c:pt>
                <c:pt idx="3" formatCode="#,##0_);[Red]\(#,##0\)">
                  <c:v>10677702.84</c:v>
                </c:pt>
                <c:pt idx="4" formatCode="#,##0_);[Red]\(#,##0\)">
                  <c:v>1601684.48</c:v>
                </c:pt>
                <c:pt idx="5" formatCode="#,##0_);[Red]\(#,##0\)">
                  <c:v>2678723.56</c:v>
                </c:pt>
                <c:pt idx="6" formatCode="#,##0_);[Red]\(#,##0\)">
                  <c:v>217668.33000000002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96576"/>
        <c:axId val="127498496"/>
      </c:barChart>
      <c:lineChart>
        <c:grouping val="stacked"/>
        <c:varyColors val="0"/>
        <c:ser>
          <c:idx val="2"/>
          <c:order val="2"/>
          <c:tx>
            <c:strRef>
              <c:f>'2010 Q2 GF'!$I$16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GF'!$I$17:$I$23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6576"/>
        <c:axId val="127498496"/>
      </c:lineChart>
      <c:catAx>
        <c:axId val="1274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49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9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496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2831594637"/>
          <c:y val="0.93239554914790579"/>
          <c:w val="0.47988077496274223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Expenditures by Function Area</a:t>
            </a:r>
          </a:p>
        </c:rich>
      </c:tx>
      <c:layout>
        <c:manualLayout>
          <c:xMode val="edge"/>
          <c:yMode val="edge"/>
          <c:x val="0.21162444113263784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GF'!$D$48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Q2 GF'!$D$49:$D$59</c:f>
              <c:numCache>
                <c:formatCode>"$"#,##0_);[Red]\("$"#,##0\)</c:formatCode>
                <c:ptCount val="11"/>
                <c:pt idx="0">
                  <c:v>136994.62</c:v>
                </c:pt>
                <c:pt idx="1">
                  <c:v>289019.63</c:v>
                </c:pt>
                <c:pt idx="2">
                  <c:v>1521774.66</c:v>
                </c:pt>
                <c:pt idx="3">
                  <c:v>5308214.72</c:v>
                </c:pt>
                <c:pt idx="4">
                  <c:v>11063278.310000001</c:v>
                </c:pt>
                <c:pt idx="5">
                  <c:v>5465500.0300000003</c:v>
                </c:pt>
                <c:pt idx="6">
                  <c:v>7110684.3600000003</c:v>
                </c:pt>
                <c:pt idx="7">
                  <c:v>5358645.12</c:v>
                </c:pt>
                <c:pt idx="8">
                  <c:v>4565598.2300000004</c:v>
                </c:pt>
                <c:pt idx="9">
                  <c:v>23496387.489999998</c:v>
                </c:pt>
                <c:pt idx="10">
                  <c:v>7790000</c:v>
                </c:pt>
              </c:numCache>
            </c:numRef>
          </c:val>
        </c:ser>
        <c:ser>
          <c:idx val="1"/>
          <c:order val="1"/>
          <c:tx>
            <c:strRef>
              <c:f>'2010 Q2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Q2 GF'!$H$49:$H$59</c:f>
              <c:numCache>
                <c:formatCode>#,##0</c:formatCode>
                <c:ptCount val="11"/>
                <c:pt idx="0" formatCode="&quot;$&quot;#,##0_);[Red]\(&quot;$&quot;#,##0\)">
                  <c:v>165501.38</c:v>
                </c:pt>
                <c:pt idx="1">
                  <c:v>122350.37</c:v>
                </c:pt>
                <c:pt idx="2">
                  <c:v>1741551.34</c:v>
                </c:pt>
                <c:pt idx="3">
                  <c:v>5296364.28</c:v>
                </c:pt>
                <c:pt idx="4">
                  <c:v>24969907.689999998</c:v>
                </c:pt>
                <c:pt idx="5">
                  <c:v>6137513.9699999997</c:v>
                </c:pt>
                <c:pt idx="6">
                  <c:v>7631890.6399999997</c:v>
                </c:pt>
                <c:pt idx="7">
                  <c:v>5417181.8799999999</c:v>
                </c:pt>
                <c:pt idx="8">
                  <c:v>6215465.7699999996</c:v>
                </c:pt>
                <c:pt idx="9">
                  <c:v>22475116.510000002</c:v>
                </c:pt>
                <c:pt idx="10">
                  <c:v>580000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04096"/>
        <c:axId val="128006016"/>
      </c:barChart>
      <c:lineChart>
        <c:grouping val="stacked"/>
        <c:varyColors val="0"/>
        <c:ser>
          <c:idx val="2"/>
          <c:order val="2"/>
          <c:tx>
            <c:strRef>
              <c:f>'2010 Q2 GF'!$G$48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GF'!$I$49:$I$59</c:f>
              <c:numCache>
                <c:formatCode>0%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04096"/>
        <c:axId val="128006016"/>
      </c:lineChart>
      <c:catAx>
        <c:axId val="1280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800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8004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89865871831"/>
          <c:y val="0.92548076923076927"/>
          <c:w val="0.53502235469448589"/>
          <c:h val="5.28846153846154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40320"/>
        <c:axId val="128046208"/>
      </c:barChart>
      <c:catAx>
        <c:axId val="1280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4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4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4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76416"/>
        <c:axId val="128082304"/>
      </c:barChart>
      <c:catAx>
        <c:axId val="1280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8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8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76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28896"/>
        <c:axId val="128130432"/>
      </c:barChart>
      <c:catAx>
        <c:axId val="1281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13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2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Q2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Q2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85472"/>
        <c:axId val="128187008"/>
      </c:barChart>
      <c:catAx>
        <c:axId val="1281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8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8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85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the 2nd Quarter of Fiscal Year</a:t>
            </a:r>
          </a:p>
        </c:rich>
      </c:tx>
      <c:layout>
        <c:manualLayout>
          <c:xMode val="edge"/>
          <c:yMode val="edge"/>
          <c:x val="0.2899409837083973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GF'!$M$16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Q2 GF'!$M$17:$M$23</c:f>
              <c:numCache>
                <c:formatCode>0.00%</c:formatCode>
                <c:ptCount val="7"/>
                <c:pt idx="0">
                  <c:v>0.96419104576877412</c:v>
                </c:pt>
                <c:pt idx="1">
                  <c:v>0.375</c:v>
                </c:pt>
                <c:pt idx="2">
                  <c:v>0.2605047904858428</c:v>
                </c:pt>
                <c:pt idx="3">
                  <c:v>0.37031094224579858</c:v>
                </c:pt>
                <c:pt idx="4">
                  <c:v>0.30392413799097795</c:v>
                </c:pt>
                <c:pt idx="5">
                  <c:v>0.14507640212045486</c:v>
                </c:pt>
                <c:pt idx="6">
                  <c:v>0.61415560105293943</c:v>
                </c:pt>
              </c:numCache>
            </c:numRef>
          </c:val>
        </c:ser>
        <c:ser>
          <c:idx val="1"/>
          <c:order val="1"/>
          <c:tx>
            <c:strRef>
              <c:f>'2010 Q2 GF'!$Q$16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GF'!$Q$17:$Q$23</c:f>
              <c:numCache>
                <c:formatCode>0.00%</c:formatCode>
                <c:ptCount val="7"/>
                <c:pt idx="0">
                  <c:v>0.96508100339299774</c:v>
                </c:pt>
                <c:pt idx="1">
                  <c:v>0.625</c:v>
                </c:pt>
                <c:pt idx="2">
                  <c:v>0.28006855686257059</c:v>
                </c:pt>
                <c:pt idx="3">
                  <c:v>0.49339863522074084</c:v>
                </c:pt>
                <c:pt idx="4">
                  <c:v>0.47203735511189665</c:v>
                </c:pt>
                <c:pt idx="5">
                  <c:v>0.54320731512195508</c:v>
                </c:pt>
                <c:pt idx="6">
                  <c:v>0.40794160398792134</c:v>
                </c:pt>
              </c:numCache>
            </c:numRef>
          </c:val>
        </c:ser>
        <c:ser>
          <c:idx val="2"/>
          <c:order val="2"/>
          <c:tx>
            <c:strRef>
              <c:f>'2010 Q2 GF'!$U$16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GF'!$U$17:$U$23</c:f>
              <c:numCache>
                <c:formatCode>0.00%</c:formatCode>
                <c:ptCount val="7"/>
                <c:pt idx="0">
                  <c:v>0.95840007492527557</c:v>
                </c:pt>
                <c:pt idx="1">
                  <c:v>0.625</c:v>
                </c:pt>
                <c:pt idx="2">
                  <c:v>0.30948246777645028</c:v>
                </c:pt>
                <c:pt idx="3">
                  <c:v>0.53031597621771898</c:v>
                </c:pt>
                <c:pt idx="4">
                  <c:v>0.45965490035859352</c:v>
                </c:pt>
                <c:pt idx="5">
                  <c:v>0.48945509689581823</c:v>
                </c:pt>
                <c:pt idx="6">
                  <c:v>0.12322711300033963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84992"/>
        <c:axId val="127686528"/>
      </c:barChart>
      <c:catAx>
        <c:axId val="1276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68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6865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68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0351146932"/>
          <c:y val="0.91525690644601632"/>
          <c:w val="0.21745577660780563"/>
          <c:h val="6.77969067425894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94208"/>
        <c:axId val="112096000"/>
      </c:barChart>
      <c:catAx>
        <c:axId val="1120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9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9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9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the 2nd Quarter of Fiscal Year</a:t>
            </a:r>
          </a:p>
        </c:rich>
      </c:tx>
      <c:layout>
        <c:manualLayout>
          <c:xMode val="edge"/>
          <c:yMode val="edge"/>
          <c:x val="0.29305135951661632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GF'!$M$48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Q2 GF'!$M$49:$M$59</c:f>
              <c:numCache>
                <c:formatCode>0.00%</c:formatCode>
                <c:ptCount val="11"/>
                <c:pt idx="0">
                  <c:v>0.45288076536549243</c:v>
                </c:pt>
                <c:pt idx="1">
                  <c:v>0.70257828718671755</c:v>
                </c:pt>
                <c:pt idx="2">
                  <c:v>0.46632627570766755</c:v>
                </c:pt>
                <c:pt idx="3">
                  <c:v>0.50055874165301606</c:v>
                </c:pt>
                <c:pt idx="4">
                  <c:v>0.30703025566487518</c:v>
                </c:pt>
                <c:pt idx="5">
                  <c:v>0.47104140613809481</c:v>
                </c:pt>
                <c:pt idx="6">
                  <c:v>0.48232309213281943</c:v>
                </c:pt>
                <c:pt idx="7">
                  <c:v>0.49728388549667696</c:v>
                </c:pt>
                <c:pt idx="8">
                  <c:v>0.42348308385888445</c:v>
                </c:pt>
                <c:pt idx="9">
                  <c:v>0.51110765247097412</c:v>
                </c:pt>
                <c:pt idx="10">
                  <c:v>0.93070489844683391</c:v>
                </c:pt>
              </c:numCache>
            </c:numRef>
          </c:val>
        </c:ser>
        <c:ser>
          <c:idx val="1"/>
          <c:order val="1"/>
          <c:tx>
            <c:strRef>
              <c:f>'2010 Q2 GF'!$Q$48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GF'!$Q$49:$Q$59</c:f>
              <c:numCache>
                <c:formatCode>0.00%</c:formatCode>
                <c:ptCount val="11"/>
                <c:pt idx="0">
                  <c:v>0.41803159999349798</c:v>
                </c:pt>
                <c:pt idx="1">
                  <c:v>0.65922156474714422</c:v>
                </c:pt>
                <c:pt idx="2">
                  <c:v>0.45154482999960427</c:v>
                </c:pt>
                <c:pt idx="3">
                  <c:v>0.47209942776737962</c:v>
                </c:pt>
                <c:pt idx="4">
                  <c:v>0.37012481344995768</c:v>
                </c:pt>
                <c:pt idx="5">
                  <c:v>0.52132897783042376</c:v>
                </c:pt>
                <c:pt idx="6">
                  <c:v>0.48768379506528658</c:v>
                </c:pt>
                <c:pt idx="7">
                  <c:v>0.48923032059380089</c:v>
                </c:pt>
                <c:pt idx="8">
                  <c:v>0.43629665252741057</c:v>
                </c:pt>
                <c:pt idx="9">
                  <c:v>0.52027356670009284</c:v>
                </c:pt>
                <c:pt idx="10">
                  <c:v>0.99545957857006528</c:v>
                </c:pt>
              </c:numCache>
            </c:numRef>
          </c:val>
        </c:ser>
        <c:ser>
          <c:idx val="2"/>
          <c:order val="2"/>
          <c:tx>
            <c:strRef>
              <c:f>'2010 Q2 GF'!$W$48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GF'!$W$49:$W$59</c:f>
              <c:numCache>
                <c:formatCode>0.00%</c:formatCode>
                <c:ptCount val="11"/>
                <c:pt idx="0">
                  <c:v>0.4223117195210917</c:v>
                </c:pt>
                <c:pt idx="1">
                  <c:v>0.66017494740951188</c:v>
                </c:pt>
                <c:pt idx="2">
                  <c:v>0.55794302656965633</c:v>
                </c:pt>
                <c:pt idx="3">
                  <c:v>0.5135522769390084</c:v>
                </c:pt>
                <c:pt idx="4">
                  <c:v>0.25589331979217905</c:v>
                </c:pt>
                <c:pt idx="5">
                  <c:v>0.41025089595677933</c:v>
                </c:pt>
                <c:pt idx="6">
                  <c:v>0.49775296404749392</c:v>
                </c:pt>
                <c:pt idx="7">
                  <c:v>0.49280050151511706</c:v>
                </c:pt>
                <c:pt idx="8">
                  <c:v>0.44773113044753193</c:v>
                </c:pt>
                <c:pt idx="9">
                  <c:v>0.51487346854770366</c:v>
                </c:pt>
                <c:pt idx="10">
                  <c:v>0.89383457429893021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24928"/>
        <c:axId val="127730816"/>
      </c:barChart>
      <c:catAx>
        <c:axId val="1277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73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308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72492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462235651"/>
          <c:y val="0.93287255759696708"/>
          <c:w val="0.21752265861027192"/>
          <c:h val="5.324074074074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01504"/>
        <c:axId val="110907392"/>
      </c:barChart>
      <c:catAx>
        <c:axId val="11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07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90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01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35424"/>
        <c:axId val="110945408"/>
      </c:barChart>
      <c:catAx>
        <c:axId val="1109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4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4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35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Revenue 
Collected thru 3rd Quarter of Fiscal Year</a:t>
            </a:r>
          </a:p>
        </c:rich>
      </c:tx>
      <c:layout>
        <c:manualLayout>
          <c:xMode val="edge"/>
          <c:yMode val="edge"/>
          <c:x val="0.24670025324433276"/>
          <c:y val="3.3898409757603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GF'!$M$16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GF'!$M$17:$M$23</c:f>
              <c:numCache>
                <c:formatCode>0.00%</c:formatCode>
                <c:ptCount val="7"/>
                <c:pt idx="0">
                  <c:v>1.0046467225539215</c:v>
                </c:pt>
                <c:pt idx="1">
                  <c:v>1.0276774193548388</c:v>
                </c:pt>
                <c:pt idx="2">
                  <c:v>0.90059318945726774</c:v>
                </c:pt>
                <c:pt idx="3">
                  <c:v>0.76057400679521547</c:v>
                </c:pt>
                <c:pt idx="4">
                  <c:v>0.84188812810404889</c:v>
                </c:pt>
                <c:pt idx="5">
                  <c:v>0.15541031747219783</c:v>
                </c:pt>
                <c:pt idx="6">
                  <c:v>4.5283669201520915</c:v>
                </c:pt>
              </c:numCache>
            </c:numRef>
          </c:val>
        </c:ser>
        <c:ser>
          <c:idx val="4"/>
          <c:order val="1"/>
          <c:tx>
            <c:strRef>
              <c:f>'2013 Q3 GF'!$P$16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GF'!$P$17:$P$23</c:f>
              <c:numCache>
                <c:formatCode>0.00%</c:formatCode>
                <c:ptCount val="7"/>
                <c:pt idx="0">
                  <c:v>1.0077999243731959</c:v>
                </c:pt>
                <c:pt idx="1">
                  <c:v>0.875</c:v>
                </c:pt>
                <c:pt idx="2">
                  <c:v>0.95645820258566583</c:v>
                </c:pt>
                <c:pt idx="3">
                  <c:v>0.80213768502169236</c:v>
                </c:pt>
                <c:pt idx="4">
                  <c:v>0.83187666135034555</c:v>
                </c:pt>
                <c:pt idx="5">
                  <c:v>0.35443602693602694</c:v>
                </c:pt>
                <c:pt idx="6">
                  <c:v>0.95835100548446073</c:v>
                </c:pt>
              </c:numCache>
            </c:numRef>
          </c:val>
        </c:ser>
        <c:ser>
          <c:idx val="3"/>
          <c:order val="2"/>
          <c:tx>
            <c:strRef>
              <c:f>'2013 Q3 GF'!$T$16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GF'!$T$17:$T$23</c:f>
              <c:numCache>
                <c:formatCode>0.00%</c:formatCode>
                <c:ptCount val="7"/>
                <c:pt idx="0">
                  <c:v>0.99204730497922822</c:v>
                </c:pt>
                <c:pt idx="1">
                  <c:v>0.91666666666666663</c:v>
                </c:pt>
                <c:pt idx="2">
                  <c:v>0.73000432950868566</c:v>
                </c:pt>
                <c:pt idx="3">
                  <c:v>0.73429379743808099</c:v>
                </c:pt>
                <c:pt idx="4">
                  <c:v>0.71409831326897411</c:v>
                </c:pt>
                <c:pt idx="5">
                  <c:v>0.66805300565677284</c:v>
                </c:pt>
                <c:pt idx="6">
                  <c:v>0.78505484472685205</c:v>
                </c:pt>
              </c:numCache>
            </c:numRef>
          </c:val>
        </c:ser>
        <c:ser>
          <c:idx val="0"/>
          <c:order val="3"/>
          <c:tx>
            <c:strRef>
              <c:f>'2013 Q3 GF'!$X$16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Q3 GF'!$X$17:$X$23</c:f>
              <c:numCache>
                <c:formatCode>0.00%</c:formatCode>
                <c:ptCount val="7"/>
                <c:pt idx="0">
                  <c:v>0.99367755149214021</c:v>
                </c:pt>
                <c:pt idx="1">
                  <c:v>1</c:v>
                </c:pt>
                <c:pt idx="2">
                  <c:v>0.60212515983714143</c:v>
                </c:pt>
                <c:pt idx="3">
                  <c:v>0.73913405491261974</c:v>
                </c:pt>
                <c:pt idx="4">
                  <c:v>0.72115154346726862</c:v>
                </c:pt>
                <c:pt idx="5">
                  <c:v>0.69082899805454123</c:v>
                </c:pt>
                <c:pt idx="6">
                  <c:v>0.63968330775844373</c:v>
                </c:pt>
              </c:numCache>
            </c:numRef>
          </c:val>
        </c:ser>
        <c:ser>
          <c:idx val="1"/>
          <c:order val="4"/>
          <c:tx>
            <c:strRef>
              <c:f>'2013 Q3 GF'!$AB$16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GF'!$AB$17:$AB$23</c:f>
              <c:numCache>
                <c:formatCode>0.00%</c:formatCode>
                <c:ptCount val="7"/>
                <c:pt idx="0">
                  <c:v>0.98782278418745428</c:v>
                </c:pt>
                <c:pt idx="1">
                  <c:v>0.875</c:v>
                </c:pt>
                <c:pt idx="2">
                  <c:v>0.55877596607035307</c:v>
                </c:pt>
                <c:pt idx="3">
                  <c:v>0.72013515453758148</c:v>
                </c:pt>
                <c:pt idx="4">
                  <c:v>0.75389423662365773</c:v>
                </c:pt>
                <c:pt idx="5">
                  <c:v>0.72340580418383327</c:v>
                </c:pt>
                <c:pt idx="6">
                  <c:v>0.43335973855177928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31488"/>
        <c:axId val="112433024"/>
      </c:barChart>
      <c:catAx>
        <c:axId val="1124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243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330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2431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Expenditures 
Spent thru 3rd Quarter of Fiscal Year</a:t>
            </a:r>
          </a:p>
        </c:rich>
      </c:tx>
      <c:layout>
        <c:manualLayout>
          <c:xMode val="edge"/>
          <c:yMode val="edge"/>
          <c:x val="0.24970875628498246"/>
          <c:y val="5.6497353085101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GF'!$M$48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GF'!$M$49:$M$59</c:f>
              <c:numCache>
                <c:formatCode>0.00%</c:formatCode>
                <c:ptCount val="11"/>
                <c:pt idx="0">
                  <c:v>0.65590002549593396</c:v>
                </c:pt>
                <c:pt idx="1">
                  <c:v>0.75911511581159119</c:v>
                </c:pt>
                <c:pt idx="2">
                  <c:v>0.47928305418522044</c:v>
                </c:pt>
                <c:pt idx="3">
                  <c:v>0.66462556087590385</c:v>
                </c:pt>
                <c:pt idx="4">
                  <c:v>0.60198291299269235</c:v>
                </c:pt>
                <c:pt idx="5">
                  <c:v>0.77585917371182789</c:v>
                </c:pt>
                <c:pt idx="6">
                  <c:v>0.67209362198625411</c:v>
                </c:pt>
                <c:pt idx="7">
                  <c:v>0.67575735692568561</c:v>
                </c:pt>
                <c:pt idx="8">
                  <c:v>0.67209945550348649</c:v>
                </c:pt>
                <c:pt idx="9">
                  <c:v>0.68599810818044138</c:v>
                </c:pt>
                <c:pt idx="10">
                  <c:v>4.3729363636363638</c:v>
                </c:pt>
              </c:numCache>
            </c:numRef>
          </c:val>
        </c:ser>
        <c:ser>
          <c:idx val="4"/>
          <c:order val="1"/>
          <c:tx>
            <c:strRef>
              <c:f>'2013 Q3 GF'!$P$48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GF'!$P$49:$P$59</c:f>
              <c:numCache>
                <c:formatCode>0.00%</c:formatCode>
                <c:ptCount val="11"/>
                <c:pt idx="0">
                  <c:v>0.69994774215363809</c:v>
                </c:pt>
                <c:pt idx="1">
                  <c:v>0.86576507160506944</c:v>
                </c:pt>
                <c:pt idx="2">
                  <c:v>0.56812063348740993</c:v>
                </c:pt>
                <c:pt idx="3">
                  <c:v>0.7182275958060278</c:v>
                </c:pt>
                <c:pt idx="4">
                  <c:v>0.59484177482793543</c:v>
                </c:pt>
                <c:pt idx="5">
                  <c:v>0.70970606608715536</c:v>
                </c:pt>
                <c:pt idx="6">
                  <c:v>0.71757379001811272</c:v>
                </c:pt>
                <c:pt idx="7">
                  <c:v>0.7055953167928285</c:v>
                </c:pt>
                <c:pt idx="8">
                  <c:v>0.72489608501156377</c:v>
                </c:pt>
                <c:pt idx="9">
                  <c:v>0.72933568467827314</c:v>
                </c:pt>
                <c:pt idx="10">
                  <c:v>1</c:v>
                </c:pt>
              </c:numCache>
            </c:numRef>
          </c:val>
        </c:ser>
        <c:ser>
          <c:idx val="3"/>
          <c:order val="2"/>
          <c:tx>
            <c:strRef>
              <c:f>'2013 Q3 GF'!$T$48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GF'!$T$49:$T$59</c:f>
              <c:numCache>
                <c:formatCode>0.00%</c:formatCode>
                <c:ptCount val="11"/>
                <c:pt idx="0">
                  <c:v>0.6763708999825615</c:v>
                </c:pt>
                <c:pt idx="1">
                  <c:v>0.86609719159337883</c:v>
                </c:pt>
                <c:pt idx="2">
                  <c:v>0.67461233200361947</c:v>
                </c:pt>
                <c:pt idx="3">
                  <c:v>0.71069212807735571</c:v>
                </c:pt>
                <c:pt idx="4">
                  <c:v>0.59785331002872888</c:v>
                </c:pt>
                <c:pt idx="5">
                  <c:v>0.70654825294609969</c:v>
                </c:pt>
                <c:pt idx="6">
                  <c:v>0.71850071562293882</c:v>
                </c:pt>
                <c:pt idx="7">
                  <c:v>0.71390730361054999</c:v>
                </c:pt>
                <c:pt idx="8">
                  <c:v>0.68507100526163534</c:v>
                </c:pt>
                <c:pt idx="9">
                  <c:v>0.73741261548121939</c:v>
                </c:pt>
                <c:pt idx="10">
                  <c:v>1.0080801710315339</c:v>
                </c:pt>
              </c:numCache>
            </c:numRef>
          </c:val>
        </c:ser>
        <c:ser>
          <c:idx val="0"/>
          <c:order val="3"/>
          <c:tx>
            <c:strRef>
              <c:f>'2013 Q3 GF'!$X$48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Q3 GF'!$X$49:$X$59</c:f>
              <c:numCache>
                <c:formatCode>0.00%</c:formatCode>
                <c:ptCount val="11"/>
                <c:pt idx="0">
                  <c:v>0.66238422987411405</c:v>
                </c:pt>
                <c:pt idx="1">
                  <c:v>0.9313848603447018</c:v>
                </c:pt>
                <c:pt idx="2">
                  <c:v>0.67226535749109961</c:v>
                </c:pt>
                <c:pt idx="3">
                  <c:v>0.7212154428761387</c:v>
                </c:pt>
                <c:pt idx="4">
                  <c:v>0.54132573539292361</c:v>
                </c:pt>
                <c:pt idx="5">
                  <c:v>0.68322457595931541</c:v>
                </c:pt>
                <c:pt idx="6">
                  <c:v>0.69700261521477758</c:v>
                </c:pt>
                <c:pt idx="7">
                  <c:v>0.72550097732638053</c:v>
                </c:pt>
                <c:pt idx="8">
                  <c:v>0.63646673371014217</c:v>
                </c:pt>
                <c:pt idx="9">
                  <c:v>0.7376123704806351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4"/>
          <c:tx>
            <c:strRef>
              <c:f>'2013 Q3 GF'!$AB$48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GF'!$AB$49:$AB$59</c:f>
              <c:numCache>
                <c:formatCode>0.00%</c:formatCode>
                <c:ptCount val="11"/>
                <c:pt idx="0">
                  <c:v>0.61271828215673207</c:v>
                </c:pt>
                <c:pt idx="1">
                  <c:v>0.90166265650410482</c:v>
                </c:pt>
                <c:pt idx="2">
                  <c:v>0.63368762741586138</c:v>
                </c:pt>
                <c:pt idx="3">
                  <c:v>0.66761999220812263</c:v>
                </c:pt>
                <c:pt idx="4">
                  <c:v>0.5365988399968783</c:v>
                </c:pt>
                <c:pt idx="5">
                  <c:v>0.72889778142636663</c:v>
                </c:pt>
                <c:pt idx="6">
                  <c:v>0.67309601892566395</c:v>
                </c:pt>
                <c:pt idx="7">
                  <c:v>0.68989667275131938</c:v>
                </c:pt>
                <c:pt idx="8">
                  <c:v>0.64391599774835673</c:v>
                </c:pt>
                <c:pt idx="9">
                  <c:v>0.71761090730877197</c:v>
                </c:pt>
                <c:pt idx="10">
                  <c:v>1.0062660043625347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30368"/>
        <c:axId val="113531904"/>
      </c:barChart>
      <c:catAx>
        <c:axId val="1135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35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3190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53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31632039970906"/>
          <c:y val="0.93775542875496198"/>
          <c:w val="0.45054916807965378"/>
          <c:h val="4.908246889788871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Revenue by Source</a:t>
            </a:r>
          </a:p>
        </c:rich>
      </c:tx>
      <c:layout>
        <c:manualLayout>
          <c:xMode val="edge"/>
          <c:yMode val="edge"/>
          <c:x val="0.25494978803726798"/>
          <c:y val="1.4084503673942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GF'!$D$16</c:f>
              <c:strCache>
                <c:ptCount val="1"/>
                <c:pt idx="0">
                  <c:v>YTD Collections as of 4/15/13</c:v>
                </c:pt>
              </c:strCache>
            </c:strRef>
          </c:tx>
          <c:invertIfNegative val="0"/>
          <c:cat>
            <c:strRef>
              <c:f>'2013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Q2 GF'!$D$17:$D$23</c:f>
              <c:numCache>
                <c:formatCode>#,##0_);[Red]\(#,##0\)</c:formatCode>
                <c:ptCount val="7"/>
                <c:pt idx="0" formatCode="&quot;$&quot;#,##0_);[Red]\(&quot;$&quot;#,##0\)">
                  <c:v>125963794</c:v>
                </c:pt>
                <c:pt idx="1">
                  <c:v>88909</c:v>
                </c:pt>
                <c:pt idx="2">
                  <c:v>1549843</c:v>
                </c:pt>
                <c:pt idx="3">
                  <c:v>8900206</c:v>
                </c:pt>
                <c:pt idx="4">
                  <c:v>1163745</c:v>
                </c:pt>
                <c:pt idx="5">
                  <c:v>239694</c:v>
                </c:pt>
                <c:pt idx="6">
                  <c:v>677594</c:v>
                </c:pt>
              </c:numCache>
            </c:numRef>
          </c:val>
        </c:ser>
        <c:ser>
          <c:idx val="1"/>
          <c:order val="1"/>
          <c:tx>
            <c:strRef>
              <c:f>'2013 Q2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Q2 GF'!$H$17:$H$23</c:f>
              <c:numCache>
                <c:formatCode>"$"#,##0_);[Red]\("$"#,##0\)</c:formatCode>
                <c:ptCount val="7"/>
                <c:pt idx="0">
                  <c:v>1750954</c:v>
                </c:pt>
                <c:pt idx="1">
                  <c:v>190091</c:v>
                </c:pt>
                <c:pt idx="2" formatCode="#,##0_);[Red]\(#,##0\)">
                  <c:v>2275579</c:v>
                </c:pt>
                <c:pt idx="3" formatCode="#,##0_);[Red]\(#,##0\)">
                  <c:v>9362644</c:v>
                </c:pt>
                <c:pt idx="4" formatCode="#,##0_);[Red]\(#,##0\)">
                  <c:v>798410</c:v>
                </c:pt>
                <c:pt idx="5" formatCode="#,##0_);[Red]\(#,##0\)">
                  <c:v>1296787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148224"/>
        <c:axId val="108150144"/>
      </c:barChart>
      <c:lineChart>
        <c:grouping val="stacked"/>
        <c:varyColors val="0"/>
        <c:ser>
          <c:idx val="2"/>
          <c:order val="2"/>
          <c:tx>
            <c:strRef>
              <c:f>'2013 Q2 GF'!$I$16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GF'!$I$17:$I$23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8224"/>
        <c:axId val="108150144"/>
      </c:lineChart>
      <c:catAx>
        <c:axId val="1081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081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50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814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259218526361769"/>
          <c:y val="0.92328400863331717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Expenditures by Function Area</a:t>
            </a:r>
          </a:p>
        </c:rich>
      </c:tx>
      <c:layout>
        <c:manualLayout>
          <c:xMode val="edge"/>
          <c:yMode val="edge"/>
          <c:x val="0.12013194725281696"/>
          <c:y val="2.14970454896346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845065891428E-2"/>
          <c:y val="9.492849300480169E-2"/>
          <c:w val="0.87525638132381489"/>
          <c:h val="0.68009580934544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GF'!$D$48</c:f>
              <c:strCache>
                <c:ptCount val="1"/>
                <c:pt idx="0">
                  <c:v>YTD Expenditures as of 4/15/13</c:v>
                </c:pt>
              </c:strCache>
            </c:strRef>
          </c:tx>
          <c:invertIfNegative val="0"/>
          <c:cat>
            <c:strRef>
              <c:f>'2013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Q2 GF'!$D$49:$D$59</c:f>
              <c:numCache>
                <c:formatCode>#,##0_);[Red]\(#,##0\)</c:formatCode>
                <c:ptCount val="11"/>
                <c:pt idx="0" formatCode="&quot;$&quot;#,##0_);[Red]\(&quot;$&quot;#,##0\)">
                  <c:v>109459</c:v>
                </c:pt>
                <c:pt idx="1">
                  <c:v>434998</c:v>
                </c:pt>
                <c:pt idx="2">
                  <c:v>1165808</c:v>
                </c:pt>
                <c:pt idx="3">
                  <c:v>4512469</c:v>
                </c:pt>
                <c:pt idx="4">
                  <c:v>11693752</c:v>
                </c:pt>
                <c:pt idx="5">
                  <c:v>5940851</c:v>
                </c:pt>
                <c:pt idx="6">
                  <c:v>6422867</c:v>
                </c:pt>
                <c:pt idx="7">
                  <c:v>4528524</c:v>
                </c:pt>
                <c:pt idx="8">
                  <c:v>4526039</c:v>
                </c:pt>
                <c:pt idx="9">
                  <c:v>24838449</c:v>
                </c:pt>
                <c:pt idx="10">
                  <c:v>410340</c:v>
                </c:pt>
              </c:numCache>
            </c:numRef>
          </c:val>
        </c:ser>
        <c:ser>
          <c:idx val="1"/>
          <c:order val="1"/>
          <c:tx>
            <c:strRef>
              <c:f>'2013 Q2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8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9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10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cat>
            <c:strRef>
              <c:f>'2013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Q2 GF'!$H$49:$H$59</c:f>
              <c:numCache>
                <c:formatCode>#,##0</c:formatCode>
                <c:ptCount val="11"/>
                <c:pt idx="0" formatCode="&quot;$&quot;#,##0_);[Red]\(&quot;$&quot;#,##0\)">
                  <c:v>153328</c:v>
                </c:pt>
                <c:pt idx="1">
                  <c:v>433093</c:v>
                </c:pt>
                <c:pt idx="2">
                  <c:v>2681791</c:v>
                </c:pt>
                <c:pt idx="3">
                  <c:v>6074766</c:v>
                </c:pt>
                <c:pt idx="4">
                  <c:v>20973642</c:v>
                </c:pt>
                <c:pt idx="5">
                  <c:v>5826327</c:v>
                </c:pt>
                <c:pt idx="6">
                  <c:v>8954632</c:v>
                </c:pt>
                <c:pt idx="7">
                  <c:v>6023370</c:v>
                </c:pt>
                <c:pt idx="8">
                  <c:v>6123065</c:v>
                </c:pt>
                <c:pt idx="9">
                  <c:v>30248200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75200"/>
        <c:axId val="108277120"/>
      </c:barChart>
      <c:lineChart>
        <c:grouping val="stacked"/>
        <c:varyColors val="0"/>
        <c:ser>
          <c:idx val="2"/>
          <c:order val="2"/>
          <c:tx>
            <c:strRef>
              <c:f>'2013 Q2 GF'!$G$48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GF'!$I$49:$I$59</c:f>
              <c:numCache>
                <c:formatCode>0%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75200"/>
        <c:axId val="108277120"/>
      </c:lineChart>
      <c:catAx>
        <c:axId val="1082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082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77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8275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4854897622102"/>
          <c:y val="0.93957689023811786"/>
          <c:w val="0.44400644986641241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15776"/>
        <c:axId val="108317312"/>
      </c:barChart>
      <c:catAx>
        <c:axId val="108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1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5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Expenditures by Function Area</a:t>
            </a:r>
          </a:p>
        </c:rich>
      </c:tx>
      <c:layout>
        <c:manualLayout>
          <c:xMode val="edge"/>
          <c:yMode val="edge"/>
          <c:x val="0.12013194725281696"/>
          <c:y val="2.14970454896346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845065891428E-2"/>
          <c:y val="9.492849300480169E-2"/>
          <c:w val="0.87525638132381489"/>
          <c:h val="0.68009580934544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GF'!$D$48</c:f>
              <c:strCache>
                <c:ptCount val="1"/>
                <c:pt idx="0">
                  <c:v>YTD Expenditures as of 10/7/13</c:v>
                </c:pt>
              </c:strCache>
            </c:strRef>
          </c:tx>
          <c:invertIfNegative val="0"/>
          <c:cat>
            <c:strRef>
              <c:f>'2013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Transfers/Unclassified</c:v>
                </c:pt>
              </c:strCache>
            </c:strRef>
          </c:cat>
          <c:val>
            <c:numRef>
              <c:f>'2013 Q4 GF'!$D$49:$D$59</c:f>
              <c:numCache>
                <c:formatCode>#,##0_);[Red]\(#,##0\)</c:formatCode>
                <c:ptCount val="11"/>
                <c:pt idx="0" formatCode="&quot;$&quot;#,##0_);[Red]\(&quot;$&quot;#,##0\)">
                  <c:v>233489</c:v>
                </c:pt>
                <c:pt idx="1">
                  <c:v>821914</c:v>
                </c:pt>
                <c:pt idx="2">
                  <c:v>3027446</c:v>
                </c:pt>
                <c:pt idx="3">
                  <c:v>9595695</c:v>
                </c:pt>
                <c:pt idx="4">
                  <c:v>23781272</c:v>
                </c:pt>
                <c:pt idx="5">
                  <c:v>11237697</c:v>
                </c:pt>
                <c:pt idx="6">
                  <c:v>14051057</c:v>
                </c:pt>
                <c:pt idx="7">
                  <c:v>9677640</c:v>
                </c:pt>
                <c:pt idx="8">
                  <c:v>9708357</c:v>
                </c:pt>
                <c:pt idx="9">
                  <c:v>51378762</c:v>
                </c:pt>
                <c:pt idx="10">
                  <c:v>1443069</c:v>
                </c:pt>
              </c:numCache>
            </c:numRef>
          </c:val>
        </c:ser>
        <c:ser>
          <c:idx val="1"/>
          <c:order val="1"/>
          <c:tx>
            <c:strRef>
              <c:f>'2013 Q4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8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9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10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cat>
            <c:strRef>
              <c:f>'2013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Transfers/Unclassified</c:v>
                </c:pt>
              </c:strCache>
            </c:strRef>
          </c:cat>
          <c:val>
            <c:numRef>
              <c:f>'2013 Q4 GF'!$H$49:$H$59</c:f>
              <c:numCache>
                <c:formatCode>#,##0</c:formatCode>
                <c:ptCount val="11"/>
                <c:pt idx="0" formatCode="&quot;$&quot;#,##0_);[Red]\(&quot;$&quot;#,##0\)">
                  <c:v>29298</c:v>
                </c:pt>
                <c:pt idx="1">
                  <c:v>46177</c:v>
                </c:pt>
                <c:pt idx="2">
                  <c:v>820153</c:v>
                </c:pt>
                <c:pt idx="3">
                  <c:v>991540</c:v>
                </c:pt>
                <c:pt idx="4">
                  <c:v>8886122</c:v>
                </c:pt>
                <c:pt idx="5">
                  <c:v>529481</c:v>
                </c:pt>
                <c:pt idx="6">
                  <c:v>1326442</c:v>
                </c:pt>
                <c:pt idx="7">
                  <c:v>874254</c:v>
                </c:pt>
                <c:pt idx="8">
                  <c:v>940747</c:v>
                </c:pt>
                <c:pt idx="9">
                  <c:v>3707887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95488"/>
        <c:axId val="36097408"/>
      </c:barChart>
      <c:lineChart>
        <c:grouping val="stacked"/>
        <c:varyColors val="0"/>
        <c:ser>
          <c:idx val="2"/>
          <c:order val="2"/>
          <c:tx>
            <c:strRef>
              <c:f>'2013 Q4 GF'!$G$48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GF'!$I$49:$I$59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488"/>
        <c:axId val="36097408"/>
      </c:lineChart>
      <c:catAx>
        <c:axId val="36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3609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97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9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675287408727563"/>
          <c:y val="0.95280784488422099"/>
          <c:w val="0.72952859371747569"/>
          <c:h val="4.592406857835330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68256"/>
        <c:axId val="108369792"/>
      </c:barChart>
      <c:catAx>
        <c:axId val="1083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6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6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6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87712"/>
        <c:axId val="113902720"/>
      </c:barChart>
      <c:catAx>
        <c:axId val="1083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02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9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8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32928"/>
        <c:axId val="113938816"/>
      </c:barChart>
      <c:catAx>
        <c:axId val="1139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3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3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Revenue 
Collected 2nd Quarter of Fiscal Year</a:t>
            </a:r>
          </a:p>
        </c:rich>
      </c:tx>
      <c:layout>
        <c:manualLayout>
          <c:xMode val="edge"/>
          <c:yMode val="edge"/>
          <c:x val="0.29940894556322051"/>
          <c:y val="3.3898409757603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GF'!$M$16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GF'!$M$17:$M$23</c:f>
              <c:numCache>
                <c:formatCode>0.00%</c:formatCode>
                <c:ptCount val="7"/>
                <c:pt idx="0">
                  <c:v>0.98629011897670582</c:v>
                </c:pt>
                <c:pt idx="1">
                  <c:v>0.31867025089605733</c:v>
                </c:pt>
                <c:pt idx="2">
                  <c:v>0.40514301428705118</c:v>
                </c:pt>
                <c:pt idx="3">
                  <c:v>0.4873393802172169</c:v>
                </c:pt>
                <c:pt idx="4">
                  <c:v>0.59309534669789088</c:v>
                </c:pt>
                <c:pt idx="5">
                  <c:v>0.15600192908340552</c:v>
                </c:pt>
                <c:pt idx="6">
                  <c:v>1.2882015209125475</c:v>
                </c:pt>
              </c:numCache>
            </c:numRef>
          </c:val>
        </c:ser>
        <c:ser>
          <c:idx val="4"/>
          <c:order val="1"/>
          <c:tx>
            <c:strRef>
              <c:f>'2013 Q2 GF'!$P$16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GF'!$P$17:$P$23</c:f>
              <c:numCache>
                <c:formatCode>0.00%</c:formatCode>
                <c:ptCount val="7"/>
                <c:pt idx="0">
                  <c:v>0.98894946808478468</c:v>
                </c:pt>
                <c:pt idx="1">
                  <c:v>0.875</c:v>
                </c:pt>
                <c:pt idx="2">
                  <c:v>0.65176415212752603</c:v>
                </c:pt>
                <c:pt idx="3">
                  <c:v>0.53680092756360753</c:v>
                </c:pt>
                <c:pt idx="4">
                  <c:v>0.54339659755449232</c:v>
                </c:pt>
                <c:pt idx="5">
                  <c:v>0.30863438304614776</c:v>
                </c:pt>
                <c:pt idx="6">
                  <c:v>0.64118098720292505</c:v>
                </c:pt>
              </c:numCache>
            </c:numRef>
          </c:val>
        </c:ser>
        <c:ser>
          <c:idx val="3"/>
          <c:order val="2"/>
          <c:tx>
            <c:strRef>
              <c:f>'2013 Q2 GF'!$T$16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GF'!$T$17:$T$23</c:f>
              <c:numCache>
                <c:formatCode>0.00%</c:formatCode>
                <c:ptCount val="7"/>
                <c:pt idx="0">
                  <c:v>0.97362625579325768</c:v>
                </c:pt>
                <c:pt idx="1">
                  <c:v>0.58333333333333337</c:v>
                </c:pt>
                <c:pt idx="2">
                  <c:v>0.39342421229312291</c:v>
                </c:pt>
                <c:pt idx="3">
                  <c:v>0.52328266139510393</c:v>
                </c:pt>
                <c:pt idx="4">
                  <c:v>0.48243638814435497</c:v>
                </c:pt>
                <c:pt idx="5">
                  <c:v>0.34271995592990739</c:v>
                </c:pt>
                <c:pt idx="6">
                  <c:v>0.60599947004856136</c:v>
                </c:pt>
              </c:numCache>
            </c:numRef>
          </c:val>
        </c:ser>
        <c:ser>
          <c:idx val="0"/>
          <c:order val="3"/>
          <c:tx>
            <c:strRef>
              <c:f>'2013 Q2 GF'!$X$16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Q2 GF'!$X$17:$X$23</c:f>
              <c:numCache>
                <c:formatCode>0.00%</c:formatCode>
                <c:ptCount val="7"/>
                <c:pt idx="0">
                  <c:v>0.96552023662277808</c:v>
                </c:pt>
                <c:pt idx="1">
                  <c:v>0.6</c:v>
                </c:pt>
                <c:pt idx="2">
                  <c:v>0.23640947064804205</c:v>
                </c:pt>
                <c:pt idx="3">
                  <c:v>0.41265466809181917</c:v>
                </c:pt>
                <c:pt idx="4">
                  <c:v>0.38394418515787687</c:v>
                </c:pt>
                <c:pt idx="5">
                  <c:v>0.20734824167478225</c:v>
                </c:pt>
                <c:pt idx="6">
                  <c:v>0.43613684055493523</c:v>
                </c:pt>
              </c:numCache>
            </c:numRef>
          </c:val>
        </c:ser>
        <c:ser>
          <c:idx val="1"/>
          <c:order val="4"/>
          <c:tx>
            <c:strRef>
              <c:f>'2013 Q2 GF'!$AB$16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GF'!$AB$17:$AB$23</c:f>
              <c:numCache>
                <c:formatCode>0.00%</c:formatCode>
                <c:ptCount val="7"/>
                <c:pt idx="0">
                  <c:v>0.96497494390966498</c:v>
                </c:pt>
                <c:pt idx="1">
                  <c:v>0.625</c:v>
                </c:pt>
                <c:pt idx="2">
                  <c:v>0.28006855686257059</c:v>
                </c:pt>
                <c:pt idx="3">
                  <c:v>0.49339863522074084</c:v>
                </c:pt>
                <c:pt idx="4">
                  <c:v>0.47203735511189665</c:v>
                </c:pt>
                <c:pt idx="5">
                  <c:v>0.47739156698274049</c:v>
                </c:pt>
                <c:pt idx="6">
                  <c:v>0.32863182229679222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8752"/>
        <c:axId val="113988736"/>
      </c:barChart>
      <c:catAx>
        <c:axId val="1139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398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8873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978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Expenditures 
Spent 2nd Quarter of Fiscal Year</a:t>
            </a:r>
          </a:p>
        </c:rich>
      </c:tx>
      <c:layout>
        <c:manualLayout>
          <c:xMode val="edge"/>
          <c:yMode val="edge"/>
          <c:x val="0.24970875628498246"/>
          <c:y val="5.6497353085101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GF'!$M$48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GF'!$M$49:$M$59</c:f>
              <c:numCache>
                <c:formatCode>0.00%</c:formatCode>
                <c:ptCount val="11"/>
                <c:pt idx="0">
                  <c:v>0.4165312591566554</c:v>
                </c:pt>
                <c:pt idx="1">
                  <c:v>0.50109723519769245</c:v>
                </c:pt>
                <c:pt idx="2">
                  <c:v>0.30299623219571481</c:v>
                </c:pt>
                <c:pt idx="3">
                  <c:v>0.42621789352933037</c:v>
                </c:pt>
                <c:pt idx="4">
                  <c:v>0.35796402982129522</c:v>
                </c:pt>
                <c:pt idx="5">
                  <c:v>0.50486624745542219</c:v>
                </c:pt>
                <c:pt idx="6">
                  <c:v>0.41767955894518349</c:v>
                </c:pt>
                <c:pt idx="7">
                  <c:v>0.42916693439111497</c:v>
                </c:pt>
                <c:pt idx="8">
                  <c:v>0.42501594500344819</c:v>
                </c:pt>
                <c:pt idx="9">
                  <c:v>0.4508978028414834</c:v>
                </c:pt>
                <c:pt idx="10">
                  <c:v>1.2434545454545454</c:v>
                </c:pt>
              </c:numCache>
            </c:numRef>
          </c:val>
        </c:ser>
        <c:ser>
          <c:idx val="4"/>
          <c:order val="1"/>
          <c:tx>
            <c:strRef>
              <c:f>'2013 Q2 GF'!$P$48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GF'!$P$49:$P$59</c:f>
              <c:numCache>
                <c:formatCode>0.00%</c:formatCode>
                <c:ptCount val="11"/>
                <c:pt idx="0">
                  <c:v>0.51035550705480925</c:v>
                </c:pt>
                <c:pt idx="1">
                  <c:v>0.35665435608576668</c:v>
                </c:pt>
                <c:pt idx="2">
                  <c:v>0.3337211381799145</c:v>
                </c:pt>
                <c:pt idx="3">
                  <c:v>0.53281748100082182</c:v>
                </c:pt>
                <c:pt idx="4">
                  <c:v>0.37730359396881902</c:v>
                </c:pt>
                <c:pt idx="5">
                  <c:v>0.47512077122096147</c:v>
                </c:pt>
                <c:pt idx="6">
                  <c:v>0.52946670240166749</c:v>
                </c:pt>
                <c:pt idx="7">
                  <c:v>0.51505468072342098</c:v>
                </c:pt>
                <c:pt idx="8">
                  <c:v>0.51021184797479868</c:v>
                </c:pt>
                <c:pt idx="9">
                  <c:v>0.5396574754826301</c:v>
                </c:pt>
                <c:pt idx="10">
                  <c:v>1</c:v>
                </c:pt>
              </c:numCache>
            </c:numRef>
          </c:val>
        </c:ser>
        <c:ser>
          <c:idx val="3"/>
          <c:order val="2"/>
          <c:tx>
            <c:strRef>
              <c:f>'2013 Q2 GF'!$T$48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GF'!$T$49:$T$59</c:f>
              <c:numCache>
                <c:formatCode>0.00%</c:formatCode>
                <c:ptCount val="11"/>
                <c:pt idx="0">
                  <c:v>0.44277810364780673</c:v>
                </c:pt>
                <c:pt idx="1">
                  <c:v>0.62959853335813165</c:v>
                </c:pt>
                <c:pt idx="2">
                  <c:v>0.34278367180122687</c:v>
                </c:pt>
                <c:pt idx="3">
                  <c:v>0.49734681198501351</c:v>
                </c:pt>
                <c:pt idx="4">
                  <c:v>0.40723766081066565</c:v>
                </c:pt>
                <c:pt idx="5">
                  <c:v>0.45516868878595196</c:v>
                </c:pt>
                <c:pt idx="6">
                  <c:v>0.49907758290324328</c:v>
                </c:pt>
                <c:pt idx="7">
                  <c:v>0.49567741751923028</c:v>
                </c:pt>
                <c:pt idx="8">
                  <c:v>0.45329315110535051</c:v>
                </c:pt>
                <c:pt idx="9">
                  <c:v>0.51901147080684573</c:v>
                </c:pt>
                <c:pt idx="10">
                  <c:v>1</c:v>
                </c:pt>
              </c:numCache>
            </c:numRef>
          </c:val>
        </c:ser>
        <c:ser>
          <c:idx val="0"/>
          <c:order val="3"/>
          <c:tx>
            <c:strRef>
              <c:f>'2013 Q2 GF'!$X$48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Q2 GF'!$X$49:$X$59</c:f>
              <c:numCache>
                <c:formatCode>0.00%</c:formatCode>
                <c:ptCount val="11"/>
                <c:pt idx="0">
                  <c:v>0.45288076536549243</c:v>
                </c:pt>
                <c:pt idx="1">
                  <c:v>0.70257828718671755</c:v>
                </c:pt>
                <c:pt idx="2">
                  <c:v>0.46632627570766755</c:v>
                </c:pt>
                <c:pt idx="3">
                  <c:v>0.50055874165301606</c:v>
                </c:pt>
                <c:pt idx="4">
                  <c:v>0.30703025566487518</c:v>
                </c:pt>
                <c:pt idx="5">
                  <c:v>0.47104140613809481</c:v>
                </c:pt>
                <c:pt idx="6">
                  <c:v>0.48232309213281943</c:v>
                </c:pt>
                <c:pt idx="7">
                  <c:v>0.49728388549667696</c:v>
                </c:pt>
                <c:pt idx="8">
                  <c:v>0.42348308385888445</c:v>
                </c:pt>
                <c:pt idx="9">
                  <c:v>0.51110765247097412</c:v>
                </c:pt>
                <c:pt idx="10">
                  <c:v>0.93070489844683391</c:v>
                </c:pt>
              </c:numCache>
            </c:numRef>
          </c:val>
        </c:ser>
        <c:ser>
          <c:idx val="1"/>
          <c:order val="4"/>
          <c:tx>
            <c:strRef>
              <c:f>'2013 Q2 GF'!$AB$48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GF'!$AB$49:$AB$59</c:f>
              <c:numCache>
                <c:formatCode>0.00%</c:formatCode>
                <c:ptCount val="11"/>
                <c:pt idx="0">
                  <c:v>0.41803159999349798</c:v>
                </c:pt>
                <c:pt idx="1">
                  <c:v>0.65922156474714422</c:v>
                </c:pt>
                <c:pt idx="2">
                  <c:v>0.45154482999960427</c:v>
                </c:pt>
                <c:pt idx="3">
                  <c:v>0.47209942776737962</c:v>
                </c:pt>
                <c:pt idx="4">
                  <c:v>0.37012481344995768</c:v>
                </c:pt>
                <c:pt idx="5">
                  <c:v>0.52132897783042376</c:v>
                </c:pt>
                <c:pt idx="6">
                  <c:v>0.48768379506528658</c:v>
                </c:pt>
                <c:pt idx="7">
                  <c:v>0.48923032059380089</c:v>
                </c:pt>
                <c:pt idx="8">
                  <c:v>0.43629665252741057</c:v>
                </c:pt>
                <c:pt idx="9">
                  <c:v>0.52027356670009284</c:v>
                </c:pt>
                <c:pt idx="10">
                  <c:v>0.99545957857006528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76288"/>
        <c:axId val="119277824"/>
      </c:barChart>
      <c:catAx>
        <c:axId val="1192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927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778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276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31632039970906"/>
          <c:y val="0.93775542875496198"/>
          <c:w val="0.45054916807965378"/>
          <c:h val="4.908246889788871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Revenue by Source</a:t>
            </a:r>
          </a:p>
        </c:rich>
      </c:tx>
      <c:layout>
        <c:manualLayout>
          <c:xMode val="edge"/>
          <c:yMode val="edge"/>
          <c:x val="0.25494978803726798"/>
          <c:y val="1.4084503673942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GF'!$D$16</c:f>
              <c:strCache>
                <c:ptCount val="1"/>
                <c:pt idx="0">
                  <c:v>YTD Collections as of 1/15/13</c:v>
                </c:pt>
              </c:strCache>
            </c:strRef>
          </c:tx>
          <c:invertIfNegative val="0"/>
          <c:cat>
            <c:strRef>
              <c:f>'2013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GF'!$D$17:$D$23</c:f>
              <c:numCache>
                <c:formatCode>#,##0_);[Red]\(#,##0\)</c:formatCode>
                <c:ptCount val="7"/>
                <c:pt idx="0" formatCode="&quot;$&quot;#,##0_);[Red]\(&quot;$&quot;#,##0\)">
                  <c:v>72053983</c:v>
                </c:pt>
                <c:pt idx="1">
                  <c:v>25220</c:v>
                </c:pt>
                <c:pt idx="2">
                  <c:v>276647</c:v>
                </c:pt>
                <c:pt idx="3">
                  <c:v>4157504</c:v>
                </c:pt>
                <c:pt idx="4">
                  <c:v>550314</c:v>
                </c:pt>
                <c:pt idx="5">
                  <c:v>118206</c:v>
                </c:pt>
                <c:pt idx="6">
                  <c:v>425640</c:v>
                </c:pt>
              </c:numCache>
            </c:numRef>
          </c:val>
        </c:ser>
        <c:ser>
          <c:idx val="1"/>
          <c:order val="1"/>
          <c:tx>
            <c:strRef>
              <c:f>'2013 Q1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GF'!$H$17:$H$23</c:f>
              <c:numCache>
                <c:formatCode>"$"#,##0_);[Red]\("$"#,##0\)</c:formatCode>
                <c:ptCount val="7"/>
                <c:pt idx="0">
                  <c:v>55660765</c:v>
                </c:pt>
                <c:pt idx="1">
                  <c:v>253780</c:v>
                </c:pt>
                <c:pt idx="2" formatCode="#,##0_);[Red]\(#,##0\)">
                  <c:v>3548775</c:v>
                </c:pt>
                <c:pt idx="3" formatCode="#,##0_);[Red]\(#,##0\)">
                  <c:v>14105346</c:v>
                </c:pt>
                <c:pt idx="4" formatCode="#,##0_);[Red]\(#,##0\)">
                  <c:v>1411841</c:v>
                </c:pt>
                <c:pt idx="5" formatCode="#,##0_);[Red]\(#,##0\)">
                  <c:v>1418275</c:v>
                </c:pt>
                <c:pt idx="6" formatCode="#,##0_);[Red]\(#,##0\)">
                  <c:v>100360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67936"/>
        <c:axId val="112174208"/>
      </c:barChart>
      <c:lineChart>
        <c:grouping val="stacked"/>
        <c:varyColors val="0"/>
        <c:ser>
          <c:idx val="2"/>
          <c:order val="2"/>
          <c:tx>
            <c:strRef>
              <c:f>'2013 Q1 GF'!$I$16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GF'!$I$17:$I$23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7936"/>
        <c:axId val="112174208"/>
      </c:lineChart>
      <c:catAx>
        <c:axId val="1121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217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4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216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259218526361769"/>
          <c:y val="0.92328400863331717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Expenditures by Function Area</a:t>
            </a:r>
          </a:p>
        </c:rich>
      </c:tx>
      <c:layout>
        <c:manualLayout>
          <c:xMode val="edge"/>
          <c:yMode val="edge"/>
          <c:x val="0.12013194725281696"/>
          <c:y val="2.14970454896346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845065891428E-2"/>
          <c:y val="9.492849300480169E-2"/>
          <c:w val="0.87525638132381489"/>
          <c:h val="0.680095809345449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GF'!$D$48</c:f>
              <c:strCache>
                <c:ptCount val="1"/>
                <c:pt idx="0">
                  <c:v>YTD Expenditures as of 1/15/13</c:v>
                </c:pt>
              </c:strCache>
            </c:strRef>
          </c:tx>
          <c:invertIfNegative val="0"/>
          <c:cat>
            <c:strRef>
              <c:f>'2013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Q1 GF'!$D$49:$D$59</c:f>
              <c:numCache>
                <c:formatCode>#,##0_);[Red]\(#,##0\)</c:formatCode>
                <c:ptCount val="11"/>
                <c:pt idx="0" formatCode="&quot;$&quot;#,##0_);[Red]\(&quot;$&quot;#,##0\)">
                  <c:v>54547</c:v>
                </c:pt>
                <c:pt idx="1">
                  <c:v>130740</c:v>
                </c:pt>
                <c:pt idx="2">
                  <c:v>588751</c:v>
                </c:pt>
                <c:pt idx="3">
                  <c:v>2268254</c:v>
                </c:pt>
                <c:pt idx="4">
                  <c:v>5761400</c:v>
                </c:pt>
                <c:pt idx="5">
                  <c:v>2982371</c:v>
                </c:pt>
                <c:pt idx="6">
                  <c:v>3164467</c:v>
                </c:pt>
                <c:pt idx="7">
                  <c:v>2230581</c:v>
                </c:pt>
                <c:pt idx="8">
                  <c:v>2189701</c:v>
                </c:pt>
                <c:pt idx="9">
                  <c:v>12381405</c:v>
                </c:pt>
                <c:pt idx="10">
                  <c:v>17646</c:v>
                </c:pt>
              </c:numCache>
            </c:numRef>
          </c:val>
        </c:ser>
        <c:ser>
          <c:idx val="1"/>
          <c:order val="1"/>
          <c:tx>
            <c:strRef>
              <c:f>'2013 Q1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8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9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dPt>
            <c:idx val="10"/>
            <c:invertIfNegative val="0"/>
            <c:bubble3D val="0"/>
            <c:spPr>
              <a:pattFill prst="dkUpDiag">
                <a:fgClr>
                  <a:sysClr val="window" lastClr="FFFFFF">
                    <a:lumMod val="65000"/>
                  </a:sysClr>
                </a:fgClr>
                <a:bgClr>
                  <a:sysClr val="window" lastClr="FFFFFF"/>
                </a:bgClr>
              </a:pattFill>
            </c:spPr>
          </c:dPt>
          <c:cat>
            <c:strRef>
              <c:f>'2013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Q1 GF'!$H$49:$H$59</c:f>
              <c:numCache>
                <c:formatCode>#,##0</c:formatCode>
                <c:ptCount val="11"/>
                <c:pt idx="0" formatCode="&quot;$&quot;#,##0_);[Red]\(&quot;$&quot;#,##0\)">
                  <c:v>208240</c:v>
                </c:pt>
                <c:pt idx="1">
                  <c:v>737351</c:v>
                </c:pt>
                <c:pt idx="2">
                  <c:v>3258848</c:v>
                </c:pt>
                <c:pt idx="3">
                  <c:v>8318981</c:v>
                </c:pt>
                <c:pt idx="4">
                  <c:v>26905994</c:v>
                </c:pt>
                <c:pt idx="5">
                  <c:v>8784807</c:v>
                </c:pt>
                <c:pt idx="6">
                  <c:v>12213032</c:v>
                </c:pt>
                <c:pt idx="7">
                  <c:v>8321313</c:v>
                </c:pt>
                <c:pt idx="8">
                  <c:v>8459403</c:v>
                </c:pt>
                <c:pt idx="9">
                  <c:v>42705244</c:v>
                </c:pt>
                <c:pt idx="10">
                  <c:v>312354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74432"/>
        <c:axId val="112276608"/>
      </c:barChart>
      <c:lineChart>
        <c:grouping val="stacked"/>
        <c:varyColors val="0"/>
        <c:ser>
          <c:idx val="2"/>
          <c:order val="2"/>
          <c:tx>
            <c:strRef>
              <c:f>'2013 Q1 GF'!$G$48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GF'!$I$49:$I$59</c:f>
              <c:numCache>
                <c:formatCode>0%</c:formatCode>
                <c:ptCount val="1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4432"/>
        <c:axId val="112276608"/>
      </c:lineChart>
      <c:catAx>
        <c:axId val="1122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227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76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2274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4854897622102"/>
          <c:y val="0.93957689023811786"/>
          <c:w val="0.44400644986641241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06816"/>
        <c:axId val="112308608"/>
      </c:barChart>
      <c:catAx>
        <c:axId val="1123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0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0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0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51104"/>
        <c:axId val="112352640"/>
      </c:barChart>
      <c:catAx>
        <c:axId val="1123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5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5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51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91296"/>
        <c:axId val="112392832"/>
      </c:barChart>
      <c:catAx>
        <c:axId val="1123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9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39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9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97792"/>
        <c:axId val="35699328"/>
      </c:barChart>
      <c:catAx>
        <c:axId val="356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9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9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97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46304"/>
        <c:axId val="113747840"/>
      </c:barChart>
      <c:catAx>
        <c:axId val="1137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4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4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4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Revenue 
Collected 1st Quarter of Fiscal Year</a:t>
            </a:r>
          </a:p>
        </c:rich>
      </c:tx>
      <c:layout>
        <c:manualLayout>
          <c:xMode val="edge"/>
          <c:yMode val="edge"/>
          <c:x val="0.29940894556322051"/>
          <c:y val="3.3898409757603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GF'!$M$16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GF'!$M$17:$M$23</c:f>
              <c:numCache>
                <c:formatCode>0.00%</c:formatCode>
                <c:ptCount val="7"/>
                <c:pt idx="0">
                  <c:v>0.56417903279267323</c:v>
                </c:pt>
                <c:pt idx="1">
                  <c:v>9.0394265232974905E-2</c:v>
                </c:pt>
                <c:pt idx="2">
                  <c:v>7.2318034454760802E-2</c:v>
                </c:pt>
                <c:pt idx="3">
                  <c:v>0.22764814911144757</c:v>
                </c:pt>
                <c:pt idx="4">
                  <c:v>0.28046408158376884</c:v>
                </c:pt>
                <c:pt idx="5">
                  <c:v>7.6932939619819576E-2</c:v>
                </c:pt>
                <c:pt idx="6">
                  <c:v>0.80920152091254749</c:v>
                </c:pt>
              </c:numCache>
            </c:numRef>
          </c:val>
        </c:ser>
        <c:ser>
          <c:idx val="4"/>
          <c:order val="1"/>
          <c:tx>
            <c:strRef>
              <c:f>'2013 Q1 GF'!$P$16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GF'!$P$17:$P$23</c:f>
              <c:numCache>
                <c:formatCode>0.00%</c:formatCode>
                <c:ptCount val="7"/>
                <c:pt idx="0">
                  <c:v>0.441469449141071</c:v>
                </c:pt>
                <c:pt idx="1">
                  <c:v>0.625</c:v>
                </c:pt>
                <c:pt idx="2">
                  <c:v>0.47964541232584412</c:v>
                </c:pt>
                <c:pt idx="3">
                  <c:v>0.21834630036517955</c:v>
                </c:pt>
                <c:pt idx="4">
                  <c:v>0.2297852206273259</c:v>
                </c:pt>
                <c:pt idx="5">
                  <c:v>8.7078629431570603E-2</c:v>
                </c:pt>
                <c:pt idx="6">
                  <c:v>0.10561425959780621</c:v>
                </c:pt>
              </c:numCache>
            </c:numRef>
          </c:val>
        </c:ser>
        <c:ser>
          <c:idx val="3"/>
          <c:order val="2"/>
          <c:tx>
            <c:strRef>
              <c:f>'2013 Q1 GF'!$T$16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GF'!$T$17:$T$23</c:f>
              <c:numCache>
                <c:formatCode>0.00%</c:formatCode>
                <c:ptCount val="7"/>
                <c:pt idx="0">
                  <c:v>0.56555508456848436</c:v>
                </c:pt>
                <c:pt idx="1">
                  <c:v>0.25</c:v>
                </c:pt>
                <c:pt idx="2">
                  <c:v>6.0070407405873411E-2</c:v>
                </c:pt>
                <c:pt idx="3">
                  <c:v>0.219579457132904</c:v>
                </c:pt>
                <c:pt idx="4">
                  <c:v>0.17822811693450649</c:v>
                </c:pt>
                <c:pt idx="5">
                  <c:v>0.23049511219935837</c:v>
                </c:pt>
                <c:pt idx="6">
                  <c:v>0.22219394648539878</c:v>
                </c:pt>
              </c:numCache>
            </c:numRef>
          </c:val>
        </c:ser>
        <c:ser>
          <c:idx val="0"/>
          <c:order val="3"/>
          <c:tx>
            <c:strRef>
              <c:f>'2013 Q1 GF'!$X$16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Q1 GF'!$X$17:$X$23</c:f>
              <c:numCache>
                <c:formatCode>0.00%</c:formatCode>
                <c:ptCount val="7"/>
                <c:pt idx="0">
                  <c:v>0.47410296220320286</c:v>
                </c:pt>
                <c:pt idx="1">
                  <c:v>0.2</c:v>
                </c:pt>
                <c:pt idx="2">
                  <c:v>3.2770106220383115E-2</c:v>
                </c:pt>
                <c:pt idx="3">
                  <c:v>0.19487334992214345</c:v>
                </c:pt>
                <c:pt idx="4">
                  <c:v>0.21016330387147389</c:v>
                </c:pt>
                <c:pt idx="5">
                  <c:v>0.13684834316706085</c:v>
                </c:pt>
                <c:pt idx="6">
                  <c:v>0.1595479223916445</c:v>
                </c:pt>
              </c:numCache>
            </c:numRef>
          </c:val>
        </c:ser>
        <c:ser>
          <c:idx val="1"/>
          <c:order val="4"/>
          <c:tx>
            <c:strRef>
              <c:f>'2013 Q1 GF'!$AB$16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GF'!$AB$17:$AB$23</c:f>
              <c:numCache>
                <c:formatCode>0.00%</c:formatCode>
                <c:ptCount val="7"/>
                <c:pt idx="0">
                  <c:v>0.43994742951361576</c:v>
                </c:pt>
                <c:pt idx="1">
                  <c:v>0.25</c:v>
                </c:pt>
                <c:pt idx="2">
                  <c:v>6.1367686372707092E-2</c:v>
                </c:pt>
                <c:pt idx="3">
                  <c:v>0.1958720945689679</c:v>
                </c:pt>
                <c:pt idx="4">
                  <c:v>0.22635978265100312</c:v>
                </c:pt>
                <c:pt idx="5">
                  <c:v>0.23237839852596565</c:v>
                </c:pt>
                <c:pt idx="6">
                  <c:v>0.18173093999563225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83936"/>
        <c:axId val="113785472"/>
      </c:barChart>
      <c:catAx>
        <c:axId val="113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378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8547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78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Expenditures 
Spent 1st Quarter of Fiscal Year</a:t>
            </a:r>
          </a:p>
        </c:rich>
      </c:tx>
      <c:layout>
        <c:manualLayout>
          <c:xMode val="edge"/>
          <c:yMode val="edge"/>
          <c:x val="0.27460772222749263"/>
          <c:y val="3.61583700342541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GF'!$M$48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GF'!$M$49:$M$59</c:f>
              <c:numCache>
                <c:formatCode>0.00%</c:formatCode>
                <c:ptCount val="11"/>
                <c:pt idx="0">
                  <c:v>0.2075711507799092</c:v>
                </c:pt>
                <c:pt idx="1">
                  <c:v>0.15060633044231539</c:v>
                </c:pt>
                <c:pt idx="2">
                  <c:v>0.15301776510493947</c:v>
                </c:pt>
                <c:pt idx="3">
                  <c:v>0.21424422901730245</c:v>
                </c:pt>
                <c:pt idx="4">
                  <c:v>0.17636546092412514</c:v>
                </c:pt>
                <c:pt idx="5">
                  <c:v>0.25344827791336205</c:v>
                </c:pt>
                <c:pt idx="6">
                  <c:v>0.20578554419024836</c:v>
                </c:pt>
                <c:pt idx="7">
                  <c:v>0.21139152838343525</c:v>
                </c:pt>
                <c:pt idx="8">
                  <c:v>0.20562302706406096</c:v>
                </c:pt>
                <c:pt idx="9">
                  <c:v>0.22476235575701836</c:v>
                </c:pt>
                <c:pt idx="10">
                  <c:v>5.3472727272727276E-2</c:v>
                </c:pt>
              </c:numCache>
            </c:numRef>
          </c:val>
        </c:ser>
        <c:ser>
          <c:idx val="4"/>
          <c:order val="1"/>
          <c:tx>
            <c:strRef>
              <c:f>'2013 Q1 GF'!$P$48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GF'!$P$49:$P$59</c:f>
              <c:numCache>
                <c:formatCode>0.00%</c:formatCode>
                <c:ptCount val="11"/>
                <c:pt idx="0">
                  <c:v>0.26948141772463191</c:v>
                </c:pt>
                <c:pt idx="1">
                  <c:v>1.0101761564417992E-2</c:v>
                </c:pt>
                <c:pt idx="2">
                  <c:v>0.17878500308369832</c:v>
                </c:pt>
                <c:pt idx="3">
                  <c:v>0.32243825877144178</c:v>
                </c:pt>
                <c:pt idx="4">
                  <c:v>0.24906268755916816</c:v>
                </c:pt>
                <c:pt idx="5">
                  <c:v>0.18572730508181617</c:v>
                </c:pt>
                <c:pt idx="6">
                  <c:v>0.31285884224995314</c:v>
                </c:pt>
                <c:pt idx="7">
                  <c:v>0.29550737291794832</c:v>
                </c:pt>
                <c:pt idx="8">
                  <c:v>0.28346009505076342</c:v>
                </c:pt>
                <c:pt idx="9">
                  <c:v>0.32066327824952107</c:v>
                </c:pt>
                <c:pt idx="10">
                  <c:v>1</c:v>
                </c:pt>
              </c:numCache>
            </c:numRef>
          </c:val>
        </c:ser>
        <c:ser>
          <c:idx val="3"/>
          <c:order val="2"/>
          <c:tx>
            <c:strRef>
              <c:f>'2013 Q1 GF'!$T$48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GF'!$T$49:$T$59</c:f>
              <c:numCache>
                <c:formatCode>0.00%</c:formatCode>
                <c:ptCount val="11"/>
                <c:pt idx="0">
                  <c:v>0.17875996765960145</c:v>
                </c:pt>
                <c:pt idx="1">
                  <c:v>0.4126285304354757</c:v>
                </c:pt>
                <c:pt idx="2">
                  <c:v>0.14174435816729775</c:v>
                </c:pt>
                <c:pt idx="3">
                  <c:v>0.18283471661212616</c:v>
                </c:pt>
                <c:pt idx="4">
                  <c:v>0.26435654459877644</c:v>
                </c:pt>
                <c:pt idx="5">
                  <c:v>0.17202597301021527</c:v>
                </c:pt>
                <c:pt idx="6">
                  <c:v>0.19374748233082034</c:v>
                </c:pt>
                <c:pt idx="7">
                  <c:v>0.19606803499036765</c:v>
                </c:pt>
                <c:pt idx="8">
                  <c:v>0.18406700413266008</c:v>
                </c:pt>
                <c:pt idx="9">
                  <c:v>0.22246286551449573</c:v>
                </c:pt>
                <c:pt idx="10">
                  <c:v>0.310529128808124</c:v>
                </c:pt>
              </c:numCache>
            </c:numRef>
          </c:val>
        </c:ser>
        <c:ser>
          <c:idx val="0"/>
          <c:order val="3"/>
          <c:tx>
            <c:strRef>
              <c:f>'2013 Q1 GF'!$X$48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Q1 GF'!$X$49:$X$59</c:f>
              <c:numCache>
                <c:formatCode>0.00%</c:formatCode>
                <c:ptCount val="11"/>
                <c:pt idx="0">
                  <c:v>0.19900081323389399</c:v>
                </c:pt>
                <c:pt idx="1">
                  <c:v>0.12893696672095681</c:v>
                </c:pt>
                <c:pt idx="2">
                  <c:v>0.12185816250046731</c:v>
                </c:pt>
                <c:pt idx="3">
                  <c:v>0.21334383571474172</c:v>
                </c:pt>
                <c:pt idx="4">
                  <c:v>0.1624069395362375</c:v>
                </c:pt>
                <c:pt idx="5">
                  <c:v>0.21601079426431788</c:v>
                </c:pt>
                <c:pt idx="6">
                  <c:v>0.20987086109448316</c:v>
                </c:pt>
                <c:pt idx="7">
                  <c:v>0.22989079167659243</c:v>
                </c:pt>
                <c:pt idx="8">
                  <c:v>0.18266799547799736</c:v>
                </c:pt>
                <c:pt idx="9">
                  <c:v>0.22992714921835056</c:v>
                </c:pt>
                <c:pt idx="10">
                  <c:v>0</c:v>
                </c:pt>
              </c:numCache>
            </c:numRef>
          </c:val>
        </c:ser>
        <c:ser>
          <c:idx val="1"/>
          <c:order val="4"/>
          <c:tx>
            <c:strRef>
              <c:f>'2013 Q1 GF'!$AB$48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GF'!$AB$49:$AB$59</c:f>
              <c:numCache>
                <c:formatCode>0.00%</c:formatCode>
                <c:ptCount val="11"/>
                <c:pt idx="0">
                  <c:v>0.16616294153025896</c:v>
                </c:pt>
                <c:pt idx="1">
                  <c:v>0.43226004663283502</c:v>
                </c:pt>
                <c:pt idx="2">
                  <c:v>0.12298868548639791</c:v>
                </c:pt>
                <c:pt idx="3">
                  <c:v>0.13145364818582114</c:v>
                </c:pt>
                <c:pt idx="4">
                  <c:v>0.13399036061802447</c:v>
                </c:pt>
                <c:pt idx="5">
                  <c:v>0.23340508412537969</c:v>
                </c:pt>
                <c:pt idx="6">
                  <c:v>0.16432066122679406</c:v>
                </c:pt>
                <c:pt idx="7">
                  <c:v>0.1732280884392077</c:v>
                </c:pt>
                <c:pt idx="8">
                  <c:v>0.1567415312208664</c:v>
                </c:pt>
                <c:pt idx="9">
                  <c:v>0.18497064745907685</c:v>
                </c:pt>
                <c:pt idx="10">
                  <c:v>0.22967961301741363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2432"/>
        <c:axId val="113844224"/>
      </c:barChart>
      <c:catAx>
        <c:axId val="1138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1138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4422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84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31632039970906"/>
          <c:y val="0.91990960451977399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Revenue by Source</a:t>
            </a:r>
          </a:p>
        </c:rich>
      </c:tx>
      <c:layout>
        <c:manualLayout>
          <c:xMode val="edge"/>
          <c:yMode val="edge"/>
          <c:x val="0.2906110064622308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GF'!$D$16</c:f>
              <c:strCache>
                <c:ptCount val="1"/>
                <c:pt idx="0">
                  <c:v>YTD Collections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GF'!$D$17:$D$23</c:f>
              <c:numCache>
                <c:formatCode>#,##0_);[Red]\(#,##0\)</c:formatCode>
                <c:ptCount val="7"/>
                <c:pt idx="0" formatCode="&quot;$&quot;#,##0_);[Red]\(&quot;$&quot;#,##0\)">
                  <c:v>125475095</c:v>
                </c:pt>
                <c:pt idx="1">
                  <c:v>4500</c:v>
                </c:pt>
                <c:pt idx="2">
                  <c:v>3821606</c:v>
                </c:pt>
                <c:pt idx="3">
                  <c:v>17135252</c:v>
                </c:pt>
                <c:pt idx="4">
                  <c:v>2191532</c:v>
                </c:pt>
                <c:pt idx="5">
                  <c:v>1193321</c:v>
                </c:pt>
                <c:pt idx="6">
                  <c:v>895607</c:v>
                </c:pt>
              </c:numCache>
            </c:numRef>
          </c:val>
        </c:ser>
        <c:ser>
          <c:idx val="1"/>
          <c:order val="1"/>
          <c:tx>
            <c:strRef>
              <c:f>'2012 Q4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GF'!$H$17:$H$23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 formatCode="#,##0_);[Red]\(#,##0\)">
                  <c:v>0</c:v>
                </c:pt>
                <c:pt idx="3" formatCode="#,##0_);[Red]\(#,##0\)">
                  <c:v>0</c:v>
                </c:pt>
                <c:pt idx="4" formatCode="#,##0_);[Red]\(#,##0\)">
                  <c:v>0</c:v>
                </c:pt>
                <c:pt idx="5" formatCode="#,##0_);[Red]\(#,##0\)">
                  <c:v>826279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06816"/>
        <c:axId val="119517184"/>
      </c:barChart>
      <c:lineChart>
        <c:grouping val="stacked"/>
        <c:varyColors val="0"/>
        <c:ser>
          <c:idx val="2"/>
          <c:order val="2"/>
          <c:tx>
            <c:strRef>
              <c:f>'2012 Q4 GF'!$I$16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GF'!$I$17:$I$23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06816"/>
        <c:axId val="119517184"/>
      </c:lineChart>
      <c:catAx>
        <c:axId val="1195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51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1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50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Expenditures by Function Area</a:t>
            </a:r>
          </a:p>
        </c:rich>
      </c:tx>
      <c:layout>
        <c:manualLayout>
          <c:xMode val="edge"/>
          <c:yMode val="edge"/>
          <c:x val="0.23695977464700321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GF'!$D$48</c:f>
              <c:strCache>
                <c:ptCount val="1"/>
                <c:pt idx="0">
                  <c:v>YTD Expenditures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Q4 GF'!$D$49:$D$59</c:f>
              <c:numCache>
                <c:formatCode>#,##0_);[Red]\(#,##0\)</c:formatCode>
                <c:ptCount val="11"/>
                <c:pt idx="0" formatCode="&quot;$&quot;#,##0_);[Red]\(&quot;$&quot;#,##0\)">
                  <c:v>236867</c:v>
                </c:pt>
                <c:pt idx="1">
                  <c:v>365557</c:v>
                </c:pt>
                <c:pt idx="2">
                  <c:v>2684971</c:v>
                </c:pt>
                <c:pt idx="3">
                  <c:v>9524685</c:v>
                </c:pt>
                <c:pt idx="4">
                  <c:v>24198198</c:v>
                </c:pt>
                <c:pt idx="5">
                  <c:v>10832313</c:v>
                </c:pt>
                <c:pt idx="6">
                  <c:v>13477887</c:v>
                </c:pt>
                <c:pt idx="7">
                  <c:v>9647331</c:v>
                </c:pt>
                <c:pt idx="8">
                  <c:v>9900940</c:v>
                </c:pt>
                <c:pt idx="9">
                  <c:v>42790470</c:v>
                </c:pt>
                <c:pt idx="10">
                  <c:v>9085000</c:v>
                </c:pt>
              </c:numCache>
            </c:numRef>
          </c:val>
        </c:ser>
        <c:ser>
          <c:idx val="1"/>
          <c:order val="1"/>
          <c:tx>
            <c:strRef>
              <c:f>'2012 Q4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Q4 GF'!$H$49:$H$59</c:f>
              <c:numCache>
                <c:formatCode>#,##0</c:formatCode>
                <c:ptCount val="11"/>
                <c:pt idx="0" formatCode="&quot;$&quot;#,##0_);[Red]\(&quot;$&quot;#,##0\)">
                  <c:v>23381</c:v>
                </c:pt>
                <c:pt idx="1">
                  <c:v>10813</c:v>
                </c:pt>
                <c:pt idx="2">
                  <c:v>854610</c:v>
                </c:pt>
                <c:pt idx="3">
                  <c:v>720495</c:v>
                </c:pt>
                <c:pt idx="4">
                  <c:v>6832010</c:v>
                </c:pt>
                <c:pt idx="5">
                  <c:v>923799</c:v>
                </c:pt>
                <c:pt idx="6">
                  <c:v>902039</c:v>
                </c:pt>
                <c:pt idx="7">
                  <c:v>820709</c:v>
                </c:pt>
                <c:pt idx="8">
                  <c:v>452475</c:v>
                </c:pt>
                <c:pt idx="9">
                  <c:v>2481209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416"/>
        <c:axId val="119422336"/>
      </c:barChart>
      <c:lineChart>
        <c:grouping val="stacked"/>
        <c:varyColors val="0"/>
        <c:ser>
          <c:idx val="2"/>
          <c:order val="2"/>
          <c:tx>
            <c:strRef>
              <c:f>'2012 Q4 GF'!$G$48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GF'!$I$49:$I$59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20416"/>
        <c:axId val="119422336"/>
      </c:lineChart>
      <c:catAx>
        <c:axId val="1194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2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9420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3561118762"/>
          <c:y val="0.92548082937294307"/>
          <c:w val="0.53502238229189958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69184"/>
        <c:axId val="119470720"/>
      </c:barChart>
      <c:catAx>
        <c:axId val="1194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7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7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69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4912"/>
        <c:axId val="119576448"/>
      </c:barChart>
      <c:catAx>
        <c:axId val="1195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5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7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94368"/>
        <c:axId val="121853056"/>
      </c:barChart>
      <c:catAx>
        <c:axId val="1195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5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85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94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79168"/>
        <c:axId val="121880960"/>
      </c:barChart>
      <c:catAx>
        <c:axId val="1218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8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8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79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4th Quarter of Fiscal Year</a:t>
            </a:r>
          </a:p>
        </c:rich>
      </c:tx>
      <c:layout>
        <c:manualLayout>
          <c:xMode val="edge"/>
          <c:yMode val="edge"/>
          <c:x val="0.33284060731346632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GF'!$AC$16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GF'!$AC$17:$AC$23</c:f>
              <c:numCache>
                <c:formatCode>0.00%</c:formatCode>
                <c:ptCount val="7"/>
                <c:pt idx="0">
                  <c:v>1.0000000000000002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'2012 Q4 GF'!$Y$16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GF'!$Y$17:$Y$23</c:f>
              <c:numCache>
                <c:formatCode>0.00%</c:formatCode>
                <c:ptCount val="7"/>
                <c:pt idx="0">
                  <c:v>0.99820074583636831</c:v>
                </c:pt>
                <c:pt idx="1">
                  <c:v>1</c:v>
                </c:pt>
                <c:pt idx="2">
                  <c:v>0.99852085449258454</c:v>
                </c:pt>
                <c:pt idx="3">
                  <c:v>0.9810958404600193</c:v>
                </c:pt>
                <c:pt idx="4">
                  <c:v>0.9828365809697126</c:v>
                </c:pt>
                <c:pt idx="5">
                  <c:v>0.87835186671694243</c:v>
                </c:pt>
                <c:pt idx="6">
                  <c:v>0.79976493134290449</c:v>
                </c:pt>
              </c:numCache>
            </c:numRef>
          </c:val>
        </c:ser>
        <c:ser>
          <c:idx val="0"/>
          <c:order val="2"/>
          <c:tx>
            <c:strRef>
              <c:f>'2012 Q4 GF'!$U$16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Q4 GF'!$U$17:$U$23</c:f>
              <c:numCache>
                <c:formatCode>0.00%</c:formatCode>
                <c:ptCount val="7"/>
                <c:pt idx="0">
                  <c:v>0.99790360396313094</c:v>
                </c:pt>
                <c:pt idx="1">
                  <c:v>1</c:v>
                </c:pt>
                <c:pt idx="2">
                  <c:v>0.83012106688061871</c:v>
                </c:pt>
                <c:pt idx="3">
                  <c:v>0.98318440949761421</c:v>
                </c:pt>
                <c:pt idx="4">
                  <c:v>0.98543818087887081</c:v>
                </c:pt>
                <c:pt idx="5">
                  <c:v>0.99352833687225883</c:v>
                </c:pt>
                <c:pt idx="6">
                  <c:v>0.7820916063590212</c:v>
                </c:pt>
              </c:numCache>
            </c:numRef>
          </c:val>
        </c:ser>
        <c:ser>
          <c:idx val="3"/>
          <c:order val="3"/>
          <c:tx>
            <c:strRef>
              <c:f>'2012 Q4 GF'!$Q$16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GF'!$Q$17:$Q$23</c:f>
              <c:numCache>
                <c:formatCode>0.00%</c:formatCode>
                <c:ptCount val="7"/>
                <c:pt idx="0">
                  <c:v>0.99639533507825573</c:v>
                </c:pt>
                <c:pt idx="1">
                  <c:v>1</c:v>
                </c:pt>
                <c:pt idx="2">
                  <c:v>0.99831348801369713</c:v>
                </c:pt>
                <c:pt idx="3">
                  <c:v>0.99736644071806058</c:v>
                </c:pt>
                <c:pt idx="4">
                  <c:v>0.9984914719991409</c:v>
                </c:pt>
                <c:pt idx="5">
                  <c:v>0.8577435838120826</c:v>
                </c:pt>
                <c:pt idx="6">
                  <c:v>0.96149719151972757</c:v>
                </c:pt>
              </c:numCache>
            </c:numRef>
          </c:val>
        </c:ser>
        <c:ser>
          <c:idx val="4"/>
          <c:order val="4"/>
          <c:tx>
            <c:strRef>
              <c:f>'2012 Q4 GF'!$M$16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GF'!$M$17:$M$23</c:f>
              <c:numCache>
                <c:formatCode>0.00%</c:formatCode>
                <c:ptCount val="7"/>
                <c:pt idx="0">
                  <c:v>1.0118013811080411</c:v>
                </c:pt>
                <c:pt idx="1">
                  <c:v>1.125</c:v>
                </c:pt>
                <c:pt idx="2">
                  <c:v>1.1991985690975273</c:v>
                </c:pt>
                <c:pt idx="3">
                  <c:v>1.0613571879892678</c:v>
                </c:pt>
                <c:pt idx="4">
                  <c:v>1.1650887825624667</c:v>
                </c:pt>
                <c:pt idx="5">
                  <c:v>0.59086997425232723</c:v>
                </c:pt>
                <c:pt idx="6">
                  <c:v>1.637307129798903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33184"/>
        <c:axId val="121934976"/>
      </c:barChart>
      <c:catAx>
        <c:axId val="1219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19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349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1933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7831432578"/>
          <c:y val="0.9152569395874226"/>
          <c:w val="0.252815986497263"/>
          <c:h val="5.50609540569606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57472"/>
        <c:axId val="36059008"/>
      </c:barChart>
      <c:catAx>
        <c:axId val="3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5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5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4th Quarter of Fiscal Year</a:t>
            </a:r>
          </a:p>
        </c:rich>
      </c:tx>
      <c:layout>
        <c:manualLayout>
          <c:xMode val="edge"/>
          <c:yMode val="edge"/>
          <c:x val="0.3338369224931220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GF'!$AE$48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GF'!$AE$49:$AE$59</c:f>
              <c:numCache>
                <c:formatCode>0.00%</c:formatCode>
                <c:ptCount val="11"/>
                <c:pt idx="0">
                  <c:v>0.91356968140214934</c:v>
                </c:pt>
                <c:pt idx="1">
                  <c:v>0.92792860705688451</c:v>
                </c:pt>
                <c:pt idx="2">
                  <c:v>1.1826490426006251</c:v>
                </c:pt>
                <c:pt idx="3">
                  <c:v>0.9788877209290423</c:v>
                </c:pt>
                <c:pt idx="4">
                  <c:v>0.64010420902575316</c:v>
                </c:pt>
                <c:pt idx="5">
                  <c:v>1.0501811975433417</c:v>
                </c:pt>
                <c:pt idx="6">
                  <c:v>0.98818768452786376</c:v>
                </c:pt>
                <c:pt idx="7">
                  <c:v>0.97609982482539359</c:v>
                </c:pt>
                <c:pt idx="8">
                  <c:v>0.99226576296746927</c:v>
                </c:pt>
                <c:pt idx="9">
                  <c:v>0.99449215271522828</c:v>
                </c:pt>
                <c:pt idx="10">
                  <c:v>1.9991913210041106</c:v>
                </c:pt>
              </c:numCache>
            </c:numRef>
          </c:val>
        </c:ser>
        <c:ser>
          <c:idx val="1"/>
          <c:order val="1"/>
          <c:tx>
            <c:strRef>
              <c:f>'2012 Q4 GF'!$Y$48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GF'!$Y$49:$Y$59</c:f>
              <c:numCache>
                <c:formatCode>0.00%</c:formatCode>
                <c:ptCount val="11"/>
                <c:pt idx="0">
                  <c:v>0.9032246622994522</c:v>
                </c:pt>
                <c:pt idx="1">
                  <c:v>0.9722252679428649</c:v>
                </c:pt>
                <c:pt idx="2">
                  <c:v>0.79914891635330043</c:v>
                </c:pt>
                <c:pt idx="3">
                  <c:v>0.93059311151453006</c:v>
                </c:pt>
                <c:pt idx="4">
                  <c:v>0.66010099763792907</c:v>
                </c:pt>
                <c:pt idx="5">
                  <c:v>0.98249967028930962</c:v>
                </c:pt>
                <c:pt idx="6">
                  <c:v>0.92512657692668887</c:v>
                </c:pt>
                <c:pt idx="7">
                  <c:v>0.95716377753209736</c:v>
                </c:pt>
                <c:pt idx="8">
                  <c:v>0.88906449410421085</c:v>
                </c:pt>
                <c:pt idx="9">
                  <c:v>0.97622472556607387</c:v>
                </c:pt>
                <c:pt idx="10">
                  <c:v>1.0819622034635226</c:v>
                </c:pt>
              </c:numCache>
            </c:numRef>
          </c:val>
        </c:ser>
        <c:ser>
          <c:idx val="0"/>
          <c:order val="2"/>
          <c:tx>
            <c:strRef>
              <c:f>'2012 Q4 GF'!$U$48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Q4 GF'!$U$49:$U$59</c:f>
              <c:numCache>
                <c:formatCode>0.00%</c:formatCode>
                <c:ptCount val="11"/>
                <c:pt idx="0">
                  <c:v>0.88779726012905957</c:v>
                </c:pt>
                <c:pt idx="1">
                  <c:v>1.0305216471789387</c:v>
                </c:pt>
                <c:pt idx="2">
                  <c:v>0.82334401772915111</c:v>
                </c:pt>
                <c:pt idx="3">
                  <c:v>0.93240581356412167</c:v>
                </c:pt>
                <c:pt idx="4">
                  <c:v>0.79497428981161977</c:v>
                </c:pt>
                <c:pt idx="5">
                  <c:v>0.93447041949617571</c:v>
                </c:pt>
                <c:pt idx="6">
                  <c:v>0.92522154236963361</c:v>
                </c:pt>
                <c:pt idx="7">
                  <c:v>0.95671528412622076</c:v>
                </c:pt>
                <c:pt idx="8">
                  <c:v>0.85987143755013418</c:v>
                </c:pt>
                <c:pt idx="9">
                  <c:v>0.96601825992031931</c:v>
                </c:pt>
                <c:pt idx="10">
                  <c:v>1.005973715651135</c:v>
                </c:pt>
              </c:numCache>
            </c:numRef>
          </c:val>
        </c:ser>
        <c:ser>
          <c:idx val="3"/>
          <c:order val="3"/>
          <c:tx>
            <c:strRef>
              <c:f>'2012 Q4 GF'!$Q$48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GF'!$Q$49:$Q$59</c:f>
              <c:numCache>
                <c:formatCode>0.00%</c:formatCode>
                <c:ptCount val="11"/>
                <c:pt idx="0">
                  <c:v>0.85616449214477086</c:v>
                </c:pt>
                <c:pt idx="1">
                  <c:v>0.97627334803517818</c:v>
                </c:pt>
                <c:pt idx="2">
                  <c:v>0.87787701743473001</c:v>
                </c:pt>
                <c:pt idx="3">
                  <c:v>0.92630159240400889</c:v>
                </c:pt>
                <c:pt idx="4">
                  <c:v>1.727692003861049</c:v>
                </c:pt>
                <c:pt idx="5">
                  <c:v>0.91232736673942572</c:v>
                </c:pt>
                <c:pt idx="6">
                  <c:v>0.94599238473830327</c:v>
                </c:pt>
                <c:pt idx="7">
                  <c:v>0.92897388571685557</c:v>
                </c:pt>
                <c:pt idx="8">
                  <c:v>0.93740793312583259</c:v>
                </c:pt>
                <c:pt idx="9">
                  <c:v>0.97209345285014115</c:v>
                </c:pt>
                <c:pt idx="10">
                  <c:v>1.0080801710315339</c:v>
                </c:pt>
              </c:numCache>
            </c:numRef>
          </c:val>
        </c:ser>
        <c:ser>
          <c:idx val="4"/>
          <c:order val="4"/>
          <c:tx>
            <c:strRef>
              <c:f>'2012 Q4 GF'!$M$48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GF'!$M$49:$M$59</c:f>
              <c:numCache>
                <c:formatCode>0.00%</c:formatCode>
                <c:ptCount val="11"/>
                <c:pt idx="0">
                  <c:v>0.91015877163321135</c:v>
                </c:pt>
                <c:pt idx="1">
                  <c:v>0.97127029253128572</c:v>
                </c:pt>
                <c:pt idx="2">
                  <c:v>0.75855616808882176</c:v>
                </c:pt>
                <c:pt idx="3">
                  <c:v>0.929674734850925</c:v>
                </c:pt>
                <c:pt idx="4">
                  <c:v>0.77982712845495594</c:v>
                </c:pt>
                <c:pt idx="5">
                  <c:v>0.92141968365051308</c:v>
                </c:pt>
                <c:pt idx="6">
                  <c:v>0.93727095674901251</c:v>
                </c:pt>
                <c:pt idx="7">
                  <c:v>0.92159859916469555</c:v>
                </c:pt>
                <c:pt idx="8">
                  <c:v>0.95629702856497112</c:v>
                </c:pt>
                <c:pt idx="9">
                  <c:v>0.9451929096775934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77664"/>
        <c:axId val="122579200"/>
      </c:barChart>
      <c:catAx>
        <c:axId val="1225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5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7920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57766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05540269"/>
          <c:y val="0.93287255759696708"/>
          <c:w val="0.25096575277487909"/>
          <c:h val="3.8931769331302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Revenue by Source</a:t>
            </a:r>
          </a:p>
        </c:rich>
      </c:tx>
      <c:layout>
        <c:manualLayout>
          <c:xMode val="edge"/>
          <c:yMode val="edge"/>
          <c:x val="0.2906110064622308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GF'!$D$16</c:f>
              <c:strCache>
                <c:ptCount val="1"/>
                <c:pt idx="0">
                  <c:v>YTD Collections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GF'!$D$17:$D$23</c:f>
              <c:numCache>
                <c:formatCode>"$"#,##0_);[Red]\("$"#,##0\)</c:formatCode>
                <c:ptCount val="7"/>
                <c:pt idx="0">
                  <c:v>124978868</c:v>
                </c:pt>
                <c:pt idx="1">
                  <c:v>3500</c:v>
                </c:pt>
                <c:pt idx="2">
                  <c:v>3048041</c:v>
                </c:pt>
                <c:pt idx="3">
                  <c:v>12950241</c:v>
                </c:pt>
                <c:pt idx="4">
                  <c:v>1564760</c:v>
                </c:pt>
                <c:pt idx="5">
                  <c:v>715819</c:v>
                </c:pt>
                <c:pt idx="6">
                  <c:v>524218</c:v>
                </c:pt>
              </c:numCache>
            </c:numRef>
          </c:val>
        </c:ser>
        <c:ser>
          <c:idx val="1"/>
          <c:order val="1"/>
          <c:tx>
            <c:strRef>
              <c:f>'2012 Q3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GF'!$H$17:$H$23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500</c:v>
                </c:pt>
                <c:pt idx="2" formatCode="#,##0_);[Red]\(#,##0\)">
                  <c:v>138759</c:v>
                </c:pt>
                <c:pt idx="3" formatCode="#,##0_);[Red]\(#,##0\)">
                  <c:v>3194420</c:v>
                </c:pt>
                <c:pt idx="4" formatCode="#,##0_);[Red]\(#,##0\)">
                  <c:v>316240</c:v>
                </c:pt>
                <c:pt idx="5" formatCode="#,##0_);[Red]\(#,##0\)">
                  <c:v>1303781</c:v>
                </c:pt>
                <c:pt idx="6" formatCode="#,##0_);[Red]\(#,##0\)">
                  <c:v>22782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89568"/>
        <c:axId val="122591488"/>
      </c:barChart>
      <c:lineChart>
        <c:grouping val="stacked"/>
        <c:varyColors val="0"/>
        <c:ser>
          <c:idx val="2"/>
          <c:order val="2"/>
          <c:tx>
            <c:strRef>
              <c:f>'2012 Q3 GF'!$I$16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GF'!$I$17:$I$23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89568"/>
        <c:axId val="122591488"/>
      </c:lineChart>
      <c:catAx>
        <c:axId val="122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5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9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58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Expenditures by Function Area</a:t>
            </a:r>
          </a:p>
        </c:rich>
      </c:tx>
      <c:layout>
        <c:manualLayout>
          <c:xMode val="edge"/>
          <c:yMode val="edge"/>
          <c:x val="0.23695977464700321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GF'!$D$48</c:f>
              <c:strCache>
                <c:ptCount val="1"/>
                <c:pt idx="0">
                  <c:v>YTD Expenditures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Q3 GF'!$D$49:$D$59</c:f>
              <c:numCache>
                <c:formatCode>"$"#,##0_);[Red]\("$"#,##0\)</c:formatCode>
                <c:ptCount val="11"/>
                <c:pt idx="0">
                  <c:v>182160</c:v>
                </c:pt>
                <c:pt idx="1">
                  <c:v>325848</c:v>
                </c:pt>
                <c:pt idx="2">
                  <c:v>2010909</c:v>
                </c:pt>
                <c:pt idx="3">
                  <c:v>7358371</c:v>
                </c:pt>
                <c:pt idx="4">
                  <c:v>18458064</c:v>
                </c:pt>
                <c:pt idx="5">
                  <c:v>8343384</c:v>
                </c:pt>
                <c:pt idx="6">
                  <c:v>10318658</c:v>
                </c:pt>
                <c:pt idx="7">
                  <c:v>7386200</c:v>
                </c:pt>
                <c:pt idx="8">
                  <c:v>7505150</c:v>
                </c:pt>
                <c:pt idx="9">
                  <c:v>33018251</c:v>
                </c:pt>
                <c:pt idx="10">
                  <c:v>9085000</c:v>
                </c:pt>
              </c:numCache>
            </c:numRef>
          </c:val>
        </c:ser>
        <c:ser>
          <c:idx val="1"/>
          <c:order val="1"/>
          <c:tx>
            <c:strRef>
              <c:f>'2012 Q3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Q3 GF'!$H$49:$H$59</c:f>
              <c:numCache>
                <c:formatCode>#,##0</c:formatCode>
                <c:ptCount val="11"/>
                <c:pt idx="0" formatCode="&quot;$&quot;#,##0_);[Red]\(&quot;$&quot;#,##0\)">
                  <c:v>78088</c:v>
                </c:pt>
                <c:pt idx="1">
                  <c:v>50522</c:v>
                </c:pt>
                <c:pt idx="2">
                  <c:v>1528672</c:v>
                </c:pt>
                <c:pt idx="3">
                  <c:v>2886809</c:v>
                </c:pt>
                <c:pt idx="4">
                  <c:v>12572144</c:v>
                </c:pt>
                <c:pt idx="5">
                  <c:v>3412728</c:v>
                </c:pt>
                <c:pt idx="6">
                  <c:v>4061268</c:v>
                </c:pt>
                <c:pt idx="7">
                  <c:v>3081840</c:v>
                </c:pt>
                <c:pt idx="8">
                  <c:v>2848265</c:v>
                </c:pt>
                <c:pt idx="9">
                  <c:v>12253428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48512"/>
        <c:axId val="122050432"/>
      </c:barChart>
      <c:lineChart>
        <c:grouping val="stacked"/>
        <c:varyColors val="0"/>
        <c:ser>
          <c:idx val="2"/>
          <c:order val="2"/>
          <c:tx>
            <c:strRef>
              <c:f>'2012 Q3 GF'!$G$48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GF'!$I$49:$I$59</c:f>
              <c:numCache>
                <c:formatCode>0%</c:formatCode>
                <c:ptCount val="1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48512"/>
        <c:axId val="122050432"/>
      </c:lineChart>
      <c:catAx>
        <c:axId val="1220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05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5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04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3561118762"/>
          <c:y val="0.92548082937294307"/>
          <c:w val="0.53502238229189958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84736"/>
        <c:axId val="122225792"/>
      </c:barChart>
      <c:catAx>
        <c:axId val="1220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2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2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8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60096"/>
        <c:axId val="122261888"/>
      </c:barChart>
      <c:catAx>
        <c:axId val="1222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6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6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83904"/>
        <c:axId val="122285440"/>
      </c:barChart>
      <c:catAx>
        <c:axId val="1222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8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28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83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28896"/>
        <c:axId val="122530432"/>
      </c:barChart>
      <c:catAx>
        <c:axId val="1225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5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3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52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3rd Quarter of Fiscal Year</a:t>
            </a:r>
          </a:p>
        </c:rich>
      </c:tx>
      <c:layout>
        <c:manualLayout>
          <c:xMode val="edge"/>
          <c:yMode val="edge"/>
          <c:x val="0.33284060731346632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GF'!$AC$16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GF'!$AC$17:$AC$23</c:f>
              <c:numCache>
                <c:formatCode>0.00%</c:formatCode>
                <c:ptCount val="7"/>
                <c:pt idx="0">
                  <c:v>0.98536952165520142</c:v>
                </c:pt>
                <c:pt idx="1">
                  <c:v>0.75</c:v>
                </c:pt>
                <c:pt idx="2">
                  <c:v>0.58252808987338101</c:v>
                </c:pt>
                <c:pt idx="3">
                  <c:v>0.73598131714356796</c:v>
                </c:pt>
                <c:pt idx="4">
                  <c:v>0.77442373386525298</c:v>
                </c:pt>
                <c:pt idx="5">
                  <c:v>0.73468925167453281</c:v>
                </c:pt>
                <c:pt idx="6">
                  <c:v>0.18948385555925618</c:v>
                </c:pt>
              </c:numCache>
            </c:numRef>
          </c:val>
        </c:ser>
        <c:ser>
          <c:idx val="1"/>
          <c:order val="1"/>
          <c:tx>
            <c:strRef>
              <c:f>'2012 Q3 GF'!$Y$16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GF'!$Y$17:$Y$23</c:f>
              <c:numCache>
                <c:formatCode>0.00%</c:formatCode>
                <c:ptCount val="7"/>
                <c:pt idx="0">
                  <c:v>0.98782278418745428</c:v>
                </c:pt>
                <c:pt idx="1">
                  <c:v>0.875</c:v>
                </c:pt>
                <c:pt idx="2">
                  <c:v>0.55877596607035307</c:v>
                </c:pt>
                <c:pt idx="3">
                  <c:v>0.72013515453758148</c:v>
                </c:pt>
                <c:pt idx="4">
                  <c:v>0.75389423662365773</c:v>
                </c:pt>
                <c:pt idx="5">
                  <c:v>0.72340580418383327</c:v>
                </c:pt>
                <c:pt idx="6">
                  <c:v>0.43335973855177928</c:v>
                </c:pt>
              </c:numCache>
            </c:numRef>
          </c:val>
        </c:ser>
        <c:ser>
          <c:idx val="0"/>
          <c:order val="2"/>
          <c:tx>
            <c:strRef>
              <c:f>'2012 Q3 GF'!$U$16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Q3 GF'!$U$17:$U$23</c:f>
              <c:numCache>
                <c:formatCode>0.00%</c:formatCode>
                <c:ptCount val="7"/>
                <c:pt idx="0">
                  <c:v>0.99367755149214021</c:v>
                </c:pt>
                <c:pt idx="1">
                  <c:v>1</c:v>
                </c:pt>
                <c:pt idx="2">
                  <c:v>0.60212515983714143</c:v>
                </c:pt>
                <c:pt idx="3">
                  <c:v>0.73913405491261974</c:v>
                </c:pt>
                <c:pt idx="4">
                  <c:v>0.72115154346726862</c:v>
                </c:pt>
                <c:pt idx="5">
                  <c:v>0.69082899805454123</c:v>
                </c:pt>
                <c:pt idx="6">
                  <c:v>0.63968330775844373</c:v>
                </c:pt>
              </c:numCache>
            </c:numRef>
          </c:val>
        </c:ser>
        <c:ser>
          <c:idx val="3"/>
          <c:order val="3"/>
          <c:tx>
            <c:strRef>
              <c:f>'2012 Q3 GF'!$Q$16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GF'!$Q$17:$Q$23</c:f>
              <c:numCache>
                <c:formatCode>0.00%</c:formatCode>
                <c:ptCount val="7"/>
                <c:pt idx="0">
                  <c:v>0.99204730497922822</c:v>
                </c:pt>
                <c:pt idx="1">
                  <c:v>0.91666666666666663</c:v>
                </c:pt>
                <c:pt idx="2">
                  <c:v>0.73000432950868566</c:v>
                </c:pt>
                <c:pt idx="3">
                  <c:v>0.73429379743808099</c:v>
                </c:pt>
                <c:pt idx="4">
                  <c:v>0.71409831326897411</c:v>
                </c:pt>
                <c:pt idx="5">
                  <c:v>0.66805300565677284</c:v>
                </c:pt>
                <c:pt idx="6">
                  <c:v>0.78505484472685205</c:v>
                </c:pt>
              </c:numCache>
            </c:numRef>
          </c:val>
        </c:ser>
        <c:ser>
          <c:idx val="4"/>
          <c:order val="4"/>
          <c:tx>
            <c:strRef>
              <c:f>'2012 Q3 GF'!$M$16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GF'!$M$17:$M$23</c:f>
              <c:numCache>
                <c:formatCode>0.00%</c:formatCode>
                <c:ptCount val="7"/>
                <c:pt idx="0">
                  <c:v>1.0077999243731959</c:v>
                </c:pt>
                <c:pt idx="1">
                  <c:v>0.875</c:v>
                </c:pt>
                <c:pt idx="2">
                  <c:v>0.95645820258566583</c:v>
                </c:pt>
                <c:pt idx="3">
                  <c:v>0.80213768502169236</c:v>
                </c:pt>
                <c:pt idx="4">
                  <c:v>0.83187666135034555</c:v>
                </c:pt>
                <c:pt idx="5">
                  <c:v>0.35443602693602694</c:v>
                </c:pt>
                <c:pt idx="6">
                  <c:v>0.95835100548446073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30080"/>
        <c:axId val="123231616"/>
      </c:barChart>
      <c:catAx>
        <c:axId val="1232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23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2316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230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7831432578"/>
          <c:y val="0.9152569395874226"/>
          <c:w val="0.252815986497263"/>
          <c:h val="5.50609540569606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3rd Quarter of Fiscal Year</a:t>
            </a:r>
          </a:p>
        </c:rich>
      </c:tx>
      <c:layout>
        <c:manualLayout>
          <c:xMode val="edge"/>
          <c:yMode val="edge"/>
          <c:x val="0.3338369224931220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GF'!$AE$48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GF'!$AE$49:$AE$59</c:f>
              <c:numCache>
                <c:formatCode>0.00%</c:formatCode>
                <c:ptCount val="11"/>
                <c:pt idx="0">
                  <c:v>0.61234942159501227</c:v>
                </c:pt>
                <c:pt idx="1">
                  <c:v>0.89230821279087436</c:v>
                </c:pt>
                <c:pt idx="2">
                  <c:v>0.84473176996114518</c:v>
                </c:pt>
                <c:pt idx="3">
                  <c:v>0.68193609411367384</c:v>
                </c:pt>
                <c:pt idx="4">
                  <c:v>0.48836799511245282</c:v>
                </c:pt>
                <c:pt idx="5">
                  <c:v>0.73526126266166181</c:v>
                </c:pt>
                <c:pt idx="6">
                  <c:v>0.70045682851457924</c:v>
                </c:pt>
                <c:pt idx="7">
                  <c:v>0.69898821399954358</c:v>
                </c:pt>
                <c:pt idx="8">
                  <c:v>0.67309544489715079</c:v>
                </c:pt>
                <c:pt idx="9">
                  <c:v>0.71489347082068921</c:v>
                </c:pt>
                <c:pt idx="10">
                  <c:v>0.89383457429893021</c:v>
                </c:pt>
              </c:numCache>
            </c:numRef>
          </c:val>
        </c:ser>
        <c:ser>
          <c:idx val="1"/>
          <c:order val="1"/>
          <c:tx>
            <c:strRef>
              <c:f>'2012 Q3 GF'!$Y$48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GF'!$Y$49:$Y$59</c:f>
              <c:numCache>
                <c:formatCode>0.00%</c:formatCode>
                <c:ptCount val="11"/>
                <c:pt idx="0">
                  <c:v>0.61271828215673207</c:v>
                </c:pt>
                <c:pt idx="1">
                  <c:v>0.90166265650410482</c:v>
                </c:pt>
                <c:pt idx="2">
                  <c:v>0.63368762741586138</c:v>
                </c:pt>
                <c:pt idx="3">
                  <c:v>0.66761999220812263</c:v>
                </c:pt>
                <c:pt idx="4">
                  <c:v>0.5365988399968783</c:v>
                </c:pt>
                <c:pt idx="5">
                  <c:v>0.72889778142636663</c:v>
                </c:pt>
                <c:pt idx="6">
                  <c:v>0.67309601892566395</c:v>
                </c:pt>
                <c:pt idx="7">
                  <c:v>0.68989667275131938</c:v>
                </c:pt>
                <c:pt idx="8">
                  <c:v>0.64391599774835673</c:v>
                </c:pt>
                <c:pt idx="9">
                  <c:v>0.71761090730877197</c:v>
                </c:pt>
                <c:pt idx="10">
                  <c:v>1.0062660043625347</c:v>
                </c:pt>
              </c:numCache>
            </c:numRef>
          </c:val>
        </c:ser>
        <c:ser>
          <c:idx val="0"/>
          <c:order val="2"/>
          <c:tx>
            <c:strRef>
              <c:f>'2012 Q3 GF'!$U$48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Q3 GF'!$U$49:$U$59</c:f>
              <c:numCache>
                <c:formatCode>0.00%</c:formatCode>
                <c:ptCount val="11"/>
                <c:pt idx="0">
                  <c:v>0.66238422987411405</c:v>
                </c:pt>
                <c:pt idx="1">
                  <c:v>0.9313848603447018</c:v>
                </c:pt>
                <c:pt idx="2">
                  <c:v>0.67226535749109961</c:v>
                </c:pt>
                <c:pt idx="3">
                  <c:v>0.7212154428761387</c:v>
                </c:pt>
                <c:pt idx="4">
                  <c:v>0.54132573539292361</c:v>
                </c:pt>
                <c:pt idx="5">
                  <c:v>0.68322457595931541</c:v>
                </c:pt>
                <c:pt idx="6">
                  <c:v>0.69700261521477758</c:v>
                </c:pt>
                <c:pt idx="7">
                  <c:v>0.72550097732638053</c:v>
                </c:pt>
                <c:pt idx="8">
                  <c:v>0.63646673371014217</c:v>
                </c:pt>
                <c:pt idx="9">
                  <c:v>0.7376123704806351</c:v>
                </c:pt>
                <c:pt idx="10">
                  <c:v>1.005973715651135</c:v>
                </c:pt>
              </c:numCache>
            </c:numRef>
          </c:val>
        </c:ser>
        <c:ser>
          <c:idx val="3"/>
          <c:order val="3"/>
          <c:tx>
            <c:strRef>
              <c:f>'2012 Q3 GF'!$Q$48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GF'!$Q$49:$Q$59</c:f>
              <c:numCache>
                <c:formatCode>0.00%</c:formatCode>
                <c:ptCount val="11"/>
                <c:pt idx="0">
                  <c:v>0.6763708999825615</c:v>
                </c:pt>
                <c:pt idx="1">
                  <c:v>0.86609719159337883</c:v>
                </c:pt>
                <c:pt idx="2">
                  <c:v>0.67461233200361947</c:v>
                </c:pt>
                <c:pt idx="3">
                  <c:v>0.71069212807735571</c:v>
                </c:pt>
                <c:pt idx="4">
                  <c:v>0.59785331002872888</c:v>
                </c:pt>
                <c:pt idx="5">
                  <c:v>0.70654825294609969</c:v>
                </c:pt>
                <c:pt idx="6">
                  <c:v>0.71850071562293882</c:v>
                </c:pt>
                <c:pt idx="7">
                  <c:v>0.71390730361054999</c:v>
                </c:pt>
                <c:pt idx="8">
                  <c:v>0.68507100526163534</c:v>
                </c:pt>
                <c:pt idx="9">
                  <c:v>0.73741261548121939</c:v>
                </c:pt>
                <c:pt idx="10">
                  <c:v>1.0080801710315339</c:v>
                </c:pt>
              </c:numCache>
            </c:numRef>
          </c:val>
        </c:ser>
        <c:ser>
          <c:idx val="4"/>
          <c:order val="4"/>
          <c:tx>
            <c:strRef>
              <c:f>'2012 Q3 GF'!$M$48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GF'!$M$49:$M$59</c:f>
              <c:numCache>
                <c:formatCode>0.00%</c:formatCode>
                <c:ptCount val="11"/>
                <c:pt idx="0">
                  <c:v>0.69994774215363809</c:v>
                </c:pt>
                <c:pt idx="1">
                  <c:v>0.86576507160506944</c:v>
                </c:pt>
                <c:pt idx="2">
                  <c:v>0.56812063348740993</c:v>
                </c:pt>
                <c:pt idx="3">
                  <c:v>0.7182275958060278</c:v>
                </c:pt>
                <c:pt idx="4">
                  <c:v>0.59484177482793543</c:v>
                </c:pt>
                <c:pt idx="5">
                  <c:v>0.70970606608715536</c:v>
                </c:pt>
                <c:pt idx="6">
                  <c:v>0.71757379001811272</c:v>
                </c:pt>
                <c:pt idx="7">
                  <c:v>0.7055953167928285</c:v>
                </c:pt>
                <c:pt idx="8">
                  <c:v>0.72489608501156377</c:v>
                </c:pt>
                <c:pt idx="9">
                  <c:v>0.72933568467827314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21344"/>
        <c:axId val="123323136"/>
      </c:barChart>
      <c:catAx>
        <c:axId val="1233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32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23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32134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05540269"/>
          <c:y val="0.93287255759696708"/>
          <c:w val="0.25096575277487909"/>
          <c:h val="3.8931769331302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Revenue by Source</a:t>
            </a:r>
          </a:p>
        </c:rich>
      </c:tx>
      <c:layout>
        <c:manualLayout>
          <c:xMode val="edge"/>
          <c:yMode val="edge"/>
          <c:x val="0.2906110064622308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GF'!$D$16</c:f>
              <c:strCache>
                <c:ptCount val="1"/>
                <c:pt idx="0">
                  <c:v>YTD Collections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GF'!$D$17:$D$23</c:f>
              <c:numCache>
                <c:formatCode>"$"#,##0_);[Red]\("$"#,##0\)</c:formatCode>
                <c:ptCount val="7"/>
                <c:pt idx="0">
                  <c:v>122641193</c:v>
                </c:pt>
                <c:pt idx="1">
                  <c:v>3500</c:v>
                </c:pt>
                <c:pt idx="2">
                  <c:v>2077042</c:v>
                </c:pt>
                <c:pt idx="3">
                  <c:v>8666469</c:v>
                </c:pt>
                <c:pt idx="4">
                  <c:v>1022129</c:v>
                </c:pt>
                <c:pt idx="5">
                  <c:v>623318</c:v>
                </c:pt>
                <c:pt idx="6">
                  <c:v>350726</c:v>
                </c:pt>
              </c:numCache>
            </c:numRef>
          </c:val>
        </c:ser>
        <c:ser>
          <c:idx val="1"/>
          <c:order val="1"/>
          <c:tx>
            <c:strRef>
              <c:f>'2012 Q2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GF'!$H$17:$H$23</c:f>
              <c:numCache>
                <c:formatCode>"$"#,##0_);[Red]\("$"#,##0\)</c:formatCode>
                <c:ptCount val="7"/>
                <c:pt idx="0">
                  <c:v>1370394</c:v>
                </c:pt>
                <c:pt idx="1">
                  <c:v>500</c:v>
                </c:pt>
                <c:pt idx="2" formatCode="#,##0_);[Red]\(#,##0\)">
                  <c:v>1109758</c:v>
                </c:pt>
                <c:pt idx="3" formatCode="#,##0_);[Red]\(#,##0\)">
                  <c:v>7478192</c:v>
                </c:pt>
                <c:pt idx="4" formatCode="#,##0_);[Red]\(#,##0\)">
                  <c:v>858871</c:v>
                </c:pt>
                <c:pt idx="5" formatCode="#,##0_);[Red]\(#,##0\)">
                  <c:v>1396282</c:v>
                </c:pt>
                <c:pt idx="6" formatCode="#,##0_);[Red]\(#,##0\)">
                  <c:v>196274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657408"/>
        <c:axId val="122667776"/>
      </c:barChart>
      <c:lineChart>
        <c:grouping val="stacked"/>
        <c:varyColors val="0"/>
        <c:ser>
          <c:idx val="2"/>
          <c:order val="2"/>
          <c:tx>
            <c:strRef>
              <c:f>'2012 Q2 GF'!$I$16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GF'!$I$17:$I$23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57408"/>
        <c:axId val="122667776"/>
      </c:lineChart>
      <c:catAx>
        <c:axId val="122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6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6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657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30176"/>
        <c:axId val="36111488"/>
      </c:barChart>
      <c:catAx>
        <c:axId val="361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1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11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3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Expenditures by Function Area</a:t>
            </a:r>
          </a:p>
        </c:rich>
      </c:tx>
      <c:layout>
        <c:manualLayout>
          <c:xMode val="edge"/>
          <c:yMode val="edge"/>
          <c:x val="0.23695977464700321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GF'!$D$48</c:f>
              <c:strCache>
                <c:ptCount val="1"/>
                <c:pt idx="0">
                  <c:v>YTD Expenditures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Q2 GF'!$D$49:$D$59</c:f>
              <c:numCache>
                <c:formatCode>"$"#,##0_);[Red]\("$"#,##0\)</c:formatCode>
                <c:ptCount val="11"/>
                <c:pt idx="0">
                  <c:v>132819</c:v>
                </c:pt>
                <c:pt idx="1">
                  <c:v>134234</c:v>
                </c:pt>
                <c:pt idx="2">
                  <c:v>1181233</c:v>
                </c:pt>
                <c:pt idx="3">
                  <c:v>5458811</c:v>
                </c:pt>
                <c:pt idx="4">
                  <c:v>11707809</c:v>
                </c:pt>
                <c:pt idx="5">
                  <c:v>5585573</c:v>
                </c:pt>
                <c:pt idx="6">
                  <c:v>7613692</c:v>
                </c:pt>
                <c:pt idx="7">
                  <c:v>5391613</c:v>
                </c:pt>
                <c:pt idx="8">
                  <c:v>5282435</c:v>
                </c:pt>
                <c:pt idx="9">
                  <c:v>24431200</c:v>
                </c:pt>
                <c:pt idx="10">
                  <c:v>9085000</c:v>
                </c:pt>
              </c:numCache>
            </c:numRef>
          </c:val>
        </c:ser>
        <c:ser>
          <c:idx val="1"/>
          <c:order val="1"/>
          <c:tx>
            <c:strRef>
              <c:f>'2012 Q2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Q2 GF'!$H$49:$H$59</c:f>
              <c:numCache>
                <c:formatCode>#,##0</c:formatCode>
                <c:ptCount val="11"/>
                <c:pt idx="0" formatCode="&quot;$&quot;#,##0_);[Red]\(&quot;$&quot;#,##0\)">
                  <c:v>127429</c:v>
                </c:pt>
                <c:pt idx="1">
                  <c:v>242136</c:v>
                </c:pt>
                <c:pt idx="2">
                  <c:v>2358348</c:v>
                </c:pt>
                <c:pt idx="3">
                  <c:v>4786369</c:v>
                </c:pt>
                <c:pt idx="4">
                  <c:v>19322399</c:v>
                </c:pt>
                <c:pt idx="5">
                  <c:v>6170539</c:v>
                </c:pt>
                <c:pt idx="6">
                  <c:v>6766234</c:v>
                </c:pt>
                <c:pt idx="7">
                  <c:v>5076427</c:v>
                </c:pt>
                <c:pt idx="8">
                  <c:v>5070980</c:v>
                </c:pt>
                <c:pt idx="9">
                  <c:v>20840479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964224"/>
        <c:axId val="122978688"/>
      </c:barChart>
      <c:lineChart>
        <c:grouping val="stacked"/>
        <c:varyColors val="0"/>
        <c:ser>
          <c:idx val="2"/>
          <c:order val="2"/>
          <c:tx>
            <c:strRef>
              <c:f>'2012 Q2 GF'!$G$48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GF'!$I$49:$I$59</c:f>
              <c:numCache>
                <c:formatCode>0%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64224"/>
        <c:axId val="122978688"/>
      </c:lineChart>
      <c:catAx>
        <c:axId val="122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7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7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6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3561118762"/>
          <c:y val="0.92548082937294307"/>
          <c:w val="0.53502238229189958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04800"/>
        <c:axId val="123006336"/>
      </c:barChart>
      <c:catAx>
        <c:axId val="1230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0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0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44992"/>
        <c:axId val="123046528"/>
      </c:barChart>
      <c:catAx>
        <c:axId val="1230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4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4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4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89280"/>
        <c:axId val="123090816"/>
      </c:barChart>
      <c:catAx>
        <c:axId val="123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9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0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89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29216"/>
        <c:axId val="123139200"/>
      </c:barChart>
      <c:catAx>
        <c:axId val="1231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13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3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129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2nd Quarter of Fiscal Year</a:t>
            </a:r>
          </a:p>
        </c:rich>
      </c:tx>
      <c:layout>
        <c:manualLayout>
          <c:xMode val="edge"/>
          <c:yMode val="edge"/>
          <c:x val="0.33284060731346632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GF'!$M$16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GF'!$M$17:$M$23</c:f>
              <c:numCache>
                <c:formatCode>0.00%</c:formatCode>
                <c:ptCount val="7"/>
                <c:pt idx="0">
                  <c:v>0.98894946808478468</c:v>
                </c:pt>
                <c:pt idx="1">
                  <c:v>0.875</c:v>
                </c:pt>
                <c:pt idx="2">
                  <c:v>0.65176415212752603</c:v>
                </c:pt>
                <c:pt idx="3">
                  <c:v>0.53680092756360753</c:v>
                </c:pt>
                <c:pt idx="4">
                  <c:v>0.54339659755449232</c:v>
                </c:pt>
                <c:pt idx="5">
                  <c:v>0.30863438304614776</c:v>
                </c:pt>
                <c:pt idx="6">
                  <c:v>0.64118098720292505</c:v>
                </c:pt>
              </c:numCache>
            </c:numRef>
          </c:val>
        </c:ser>
        <c:ser>
          <c:idx val="3"/>
          <c:order val="1"/>
          <c:tx>
            <c:strRef>
              <c:f>'2012 Q2 GF'!$Q$16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GF'!$Q$17:$Q$23</c:f>
              <c:numCache>
                <c:formatCode>0.00%</c:formatCode>
                <c:ptCount val="7"/>
                <c:pt idx="0">
                  <c:v>0.97362625579325768</c:v>
                </c:pt>
                <c:pt idx="1">
                  <c:v>0.58333333333333337</c:v>
                </c:pt>
                <c:pt idx="2">
                  <c:v>0.39342421229312291</c:v>
                </c:pt>
                <c:pt idx="3">
                  <c:v>0.52328266139510393</c:v>
                </c:pt>
                <c:pt idx="4">
                  <c:v>0.48243638814435497</c:v>
                </c:pt>
                <c:pt idx="5">
                  <c:v>0.34271995592990739</c:v>
                </c:pt>
                <c:pt idx="6">
                  <c:v>0.60599947004856136</c:v>
                </c:pt>
              </c:numCache>
            </c:numRef>
          </c:val>
        </c:ser>
        <c:ser>
          <c:idx val="0"/>
          <c:order val="2"/>
          <c:tx>
            <c:strRef>
              <c:f>'2012 Q2 GF'!$U$16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Q2 GF'!$U$17:$U$23</c:f>
              <c:numCache>
                <c:formatCode>0.00%</c:formatCode>
                <c:ptCount val="7"/>
                <c:pt idx="0">
                  <c:v>0.96552023662277808</c:v>
                </c:pt>
                <c:pt idx="1">
                  <c:v>0.6</c:v>
                </c:pt>
                <c:pt idx="2">
                  <c:v>0.23640947064804205</c:v>
                </c:pt>
                <c:pt idx="3">
                  <c:v>0.41265466809181917</c:v>
                </c:pt>
                <c:pt idx="4">
                  <c:v>0.38394418515787687</c:v>
                </c:pt>
                <c:pt idx="5">
                  <c:v>0.20734824167478225</c:v>
                </c:pt>
                <c:pt idx="6">
                  <c:v>0.43613684055493523</c:v>
                </c:pt>
              </c:numCache>
            </c:numRef>
          </c:val>
        </c:ser>
        <c:ser>
          <c:idx val="1"/>
          <c:order val="3"/>
          <c:tx>
            <c:strRef>
              <c:f>'2012 Q2 GF'!$Y$16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GF'!$Y$17:$Y$23</c:f>
              <c:numCache>
                <c:formatCode>0.00%</c:formatCode>
                <c:ptCount val="7"/>
                <c:pt idx="0">
                  <c:v>0.96497494390966498</c:v>
                </c:pt>
                <c:pt idx="1">
                  <c:v>0.625</c:v>
                </c:pt>
                <c:pt idx="2">
                  <c:v>0.28006855686257059</c:v>
                </c:pt>
                <c:pt idx="3">
                  <c:v>0.49339863522074084</c:v>
                </c:pt>
                <c:pt idx="4">
                  <c:v>0.47203735511189665</c:v>
                </c:pt>
                <c:pt idx="5">
                  <c:v>0.47739156698274049</c:v>
                </c:pt>
                <c:pt idx="6">
                  <c:v>0.32863182229679222</c:v>
                </c:pt>
              </c:numCache>
            </c:numRef>
          </c:val>
        </c:ser>
        <c:ser>
          <c:idx val="2"/>
          <c:order val="4"/>
          <c:tx>
            <c:strRef>
              <c:f>'2012 Q2 GF'!$AC$16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GF'!$AC$17:$AC$23</c:f>
              <c:numCache>
                <c:formatCode>0.00%</c:formatCode>
                <c:ptCount val="7"/>
                <c:pt idx="0">
                  <c:v>0.95840007492527557</c:v>
                </c:pt>
                <c:pt idx="1">
                  <c:v>0.625</c:v>
                </c:pt>
                <c:pt idx="2">
                  <c:v>0.30948246777645028</c:v>
                </c:pt>
                <c:pt idx="3">
                  <c:v>0.53031597621771898</c:v>
                </c:pt>
                <c:pt idx="4">
                  <c:v>0.45965490035859352</c:v>
                </c:pt>
                <c:pt idx="5">
                  <c:v>0.48945509689581823</c:v>
                </c:pt>
                <c:pt idx="6">
                  <c:v>0.12322711300033963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03680"/>
        <c:axId val="123705216"/>
      </c:barChart>
      <c:catAx>
        <c:axId val="1237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70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7052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70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7831432578"/>
          <c:y val="0.9152569395874226"/>
          <c:w val="0.252815986497263"/>
          <c:h val="5.50609540569606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2nd Quarter of Fiscal Year</a:t>
            </a:r>
          </a:p>
        </c:rich>
      </c:tx>
      <c:layout>
        <c:manualLayout>
          <c:xMode val="edge"/>
          <c:yMode val="edge"/>
          <c:x val="0.3338369224931220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GF'!$M$48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GF'!$M$49:$M$59</c:f>
              <c:numCache>
                <c:formatCode>0.00%</c:formatCode>
                <c:ptCount val="11"/>
                <c:pt idx="0">
                  <c:v>0.51035550705480925</c:v>
                </c:pt>
                <c:pt idx="1">
                  <c:v>0.35665435608576668</c:v>
                </c:pt>
                <c:pt idx="2">
                  <c:v>0.3337211381799145</c:v>
                </c:pt>
                <c:pt idx="3">
                  <c:v>0.53281748100082182</c:v>
                </c:pt>
                <c:pt idx="4">
                  <c:v>0.37730359396881902</c:v>
                </c:pt>
                <c:pt idx="5">
                  <c:v>0.47512077122096147</c:v>
                </c:pt>
                <c:pt idx="6">
                  <c:v>0.52946670240166749</c:v>
                </c:pt>
                <c:pt idx="7">
                  <c:v>0.51505468072342098</c:v>
                </c:pt>
                <c:pt idx="8">
                  <c:v>0.51021184797479868</c:v>
                </c:pt>
                <c:pt idx="9">
                  <c:v>0.5396574754826301</c:v>
                </c:pt>
                <c:pt idx="10">
                  <c:v>1</c:v>
                </c:pt>
              </c:numCache>
            </c:numRef>
          </c:val>
        </c:ser>
        <c:ser>
          <c:idx val="3"/>
          <c:order val="1"/>
          <c:tx>
            <c:strRef>
              <c:f>'2012 Q2 GF'!$Q$48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GF'!$Q$49:$Q$59</c:f>
              <c:numCache>
                <c:formatCode>0.00%</c:formatCode>
                <c:ptCount val="11"/>
                <c:pt idx="0">
                  <c:v>0.44277810364780673</c:v>
                </c:pt>
                <c:pt idx="1">
                  <c:v>0.62959853335813165</c:v>
                </c:pt>
                <c:pt idx="2">
                  <c:v>0.34278367180122687</c:v>
                </c:pt>
                <c:pt idx="3">
                  <c:v>0.49734681198501351</c:v>
                </c:pt>
                <c:pt idx="4">
                  <c:v>0.40723766081066565</c:v>
                </c:pt>
                <c:pt idx="5">
                  <c:v>0.45516868878595196</c:v>
                </c:pt>
                <c:pt idx="6">
                  <c:v>0.49907758290324328</c:v>
                </c:pt>
                <c:pt idx="7">
                  <c:v>0.49567741751923028</c:v>
                </c:pt>
                <c:pt idx="8">
                  <c:v>0.45329315110535051</c:v>
                </c:pt>
                <c:pt idx="9">
                  <c:v>0.51901147080684573</c:v>
                </c:pt>
                <c:pt idx="10">
                  <c:v>1</c:v>
                </c:pt>
              </c:numCache>
            </c:numRef>
          </c:val>
        </c:ser>
        <c:ser>
          <c:idx val="0"/>
          <c:order val="2"/>
          <c:tx>
            <c:strRef>
              <c:f>'2012 Q2 GF'!$U$48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Q2 GF'!$U$49:$U$59</c:f>
              <c:numCache>
                <c:formatCode>0.00%</c:formatCode>
                <c:ptCount val="11"/>
                <c:pt idx="0">
                  <c:v>0.45288076536549243</c:v>
                </c:pt>
                <c:pt idx="1">
                  <c:v>0.70257828718671755</c:v>
                </c:pt>
                <c:pt idx="2">
                  <c:v>0.46632627570766755</c:v>
                </c:pt>
                <c:pt idx="3">
                  <c:v>0.50055874165301606</c:v>
                </c:pt>
                <c:pt idx="4">
                  <c:v>0.30703025566487518</c:v>
                </c:pt>
                <c:pt idx="5">
                  <c:v>0.47104140613809481</c:v>
                </c:pt>
                <c:pt idx="6">
                  <c:v>0.48232309213281943</c:v>
                </c:pt>
                <c:pt idx="7">
                  <c:v>0.49728388549667696</c:v>
                </c:pt>
                <c:pt idx="8">
                  <c:v>0.42348308385888445</c:v>
                </c:pt>
                <c:pt idx="9">
                  <c:v>0.51110765247097412</c:v>
                </c:pt>
                <c:pt idx="10">
                  <c:v>0.93070489844683391</c:v>
                </c:pt>
              </c:numCache>
            </c:numRef>
          </c:val>
        </c:ser>
        <c:ser>
          <c:idx val="1"/>
          <c:order val="3"/>
          <c:tx>
            <c:strRef>
              <c:f>'2012 Q2 GF'!$Y$48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GF'!$Y$49:$Y$59</c:f>
              <c:numCache>
                <c:formatCode>0.00%</c:formatCode>
                <c:ptCount val="11"/>
                <c:pt idx="0">
                  <c:v>0.41803159999349798</c:v>
                </c:pt>
                <c:pt idx="1">
                  <c:v>0.65922156474714422</c:v>
                </c:pt>
                <c:pt idx="2">
                  <c:v>0.45154482999960427</c:v>
                </c:pt>
                <c:pt idx="3">
                  <c:v>0.47209942776737962</c:v>
                </c:pt>
                <c:pt idx="4">
                  <c:v>0.37012481344995768</c:v>
                </c:pt>
                <c:pt idx="5">
                  <c:v>0.52132897783042376</c:v>
                </c:pt>
                <c:pt idx="6">
                  <c:v>0.48768379506528658</c:v>
                </c:pt>
                <c:pt idx="7">
                  <c:v>0.48923032059380089</c:v>
                </c:pt>
                <c:pt idx="8">
                  <c:v>0.43629665252741057</c:v>
                </c:pt>
                <c:pt idx="9">
                  <c:v>0.52027356670009284</c:v>
                </c:pt>
                <c:pt idx="10">
                  <c:v>0.99545957857006528</c:v>
                </c:pt>
              </c:numCache>
            </c:numRef>
          </c:val>
        </c:ser>
        <c:ser>
          <c:idx val="2"/>
          <c:order val="4"/>
          <c:tx>
            <c:strRef>
              <c:f>'2012 Q2 GF'!$AE$48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GF'!$AE$49:$AE$59</c:f>
              <c:numCache>
                <c:formatCode>0.00%</c:formatCode>
                <c:ptCount val="11"/>
                <c:pt idx="0">
                  <c:v>0.4223117195210917</c:v>
                </c:pt>
                <c:pt idx="1">
                  <c:v>0.66017494740951188</c:v>
                </c:pt>
                <c:pt idx="2">
                  <c:v>0.55794302656965633</c:v>
                </c:pt>
                <c:pt idx="3">
                  <c:v>0.5135522769390084</c:v>
                </c:pt>
                <c:pt idx="4">
                  <c:v>0.25589331979217905</c:v>
                </c:pt>
                <c:pt idx="5">
                  <c:v>0.41025089595677933</c:v>
                </c:pt>
                <c:pt idx="6">
                  <c:v>0.49775296404749392</c:v>
                </c:pt>
                <c:pt idx="7">
                  <c:v>0.49280050151511706</c:v>
                </c:pt>
                <c:pt idx="8">
                  <c:v>0.44773113044753193</c:v>
                </c:pt>
                <c:pt idx="9">
                  <c:v>0.51487346854770366</c:v>
                </c:pt>
                <c:pt idx="10">
                  <c:v>0.89383457429893021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27712"/>
        <c:axId val="123829248"/>
      </c:barChart>
      <c:catAx>
        <c:axId val="1238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8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29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82771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05540269"/>
          <c:y val="0.93287255759696708"/>
          <c:w val="0.25096575277487909"/>
          <c:h val="3.8931769331302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Revenue by Source</a:t>
            </a:r>
          </a:p>
        </c:rich>
      </c:tx>
      <c:layout>
        <c:manualLayout>
          <c:xMode val="edge"/>
          <c:yMode val="edge"/>
          <c:x val="0.2906110064622308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GF'!$D$16</c:f>
              <c:strCache>
                <c:ptCount val="1"/>
                <c:pt idx="0">
                  <c:v>YTD Collections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GF'!$D$17:$D$23</c:f>
              <c:numCache>
                <c:formatCode>"$"#,##0_);[Red]\("$"#,##0\)</c:formatCode>
                <c:ptCount val="7"/>
                <c:pt idx="0">
                  <c:v>54747327</c:v>
                </c:pt>
                <c:pt idx="1">
                  <c:v>2500</c:v>
                </c:pt>
                <c:pt idx="2">
                  <c:v>1528534</c:v>
                </c:pt>
                <c:pt idx="3">
                  <c:v>3525127</c:v>
                </c:pt>
                <c:pt idx="4">
                  <c:v>432226</c:v>
                </c:pt>
                <c:pt idx="5">
                  <c:v>175864</c:v>
                </c:pt>
                <c:pt idx="6">
                  <c:v>57771</c:v>
                </c:pt>
              </c:numCache>
            </c:numRef>
          </c:val>
        </c:ser>
        <c:ser>
          <c:idx val="1"/>
          <c:order val="1"/>
          <c:tx>
            <c:strRef>
              <c:f>'2012 Q1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GF'!$H$17:$H$23</c:f>
              <c:numCache>
                <c:formatCode>"$"#,##0_);[Red]\("$"#,##0\)</c:formatCode>
                <c:ptCount val="7"/>
                <c:pt idx="0">
                  <c:v>69264260</c:v>
                </c:pt>
                <c:pt idx="1">
                  <c:v>1500</c:v>
                </c:pt>
                <c:pt idx="2" formatCode="#,##0_);[Red]\(#,##0\)">
                  <c:v>1658266</c:v>
                </c:pt>
                <c:pt idx="3" formatCode="#,##0_);[Red]\(#,##0\)">
                  <c:v>12619534</c:v>
                </c:pt>
                <c:pt idx="4" formatCode="#,##0_);[Red]\(#,##0\)">
                  <c:v>1448774</c:v>
                </c:pt>
                <c:pt idx="5" formatCode="#,##0_);[Red]\(#,##0\)">
                  <c:v>1843736</c:v>
                </c:pt>
                <c:pt idx="6" formatCode="#,##0_);[Red]\(#,##0\)">
                  <c:v>489229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15616"/>
        <c:axId val="122817536"/>
      </c:barChart>
      <c:lineChart>
        <c:grouping val="stacked"/>
        <c:varyColors val="0"/>
        <c:ser>
          <c:idx val="2"/>
          <c:order val="2"/>
          <c:tx>
            <c:strRef>
              <c:f>'2012 Q1 GF'!$I$16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GF'!$I$17:$I$23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15616"/>
        <c:axId val="122817536"/>
      </c:lineChart>
      <c:catAx>
        <c:axId val="1228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81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1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815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General Fund Expenditures by Function Area</a:t>
            </a:r>
          </a:p>
        </c:rich>
      </c:tx>
      <c:layout>
        <c:manualLayout>
          <c:xMode val="edge"/>
          <c:yMode val="edge"/>
          <c:x val="0.23695977464700321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GF'!$D$48</c:f>
              <c:strCache>
                <c:ptCount val="1"/>
                <c:pt idx="0">
                  <c:v>YTD Expenditures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Q1 GF'!$D$49:$D$59</c:f>
              <c:numCache>
                <c:formatCode>"$"#,##0_);[Red]\("$"#,##0\)</c:formatCode>
                <c:ptCount val="11"/>
                <c:pt idx="0">
                  <c:v>70132</c:v>
                </c:pt>
                <c:pt idx="1">
                  <c:v>3802</c:v>
                </c:pt>
                <c:pt idx="2">
                  <c:v>632824</c:v>
                </c:pt>
                <c:pt idx="3">
                  <c:v>3303438</c:v>
                </c:pt>
                <c:pt idx="4">
                  <c:v>7728467</c:v>
                </c:pt>
                <c:pt idx="5">
                  <c:v>2183431</c:v>
                </c:pt>
                <c:pt idx="6">
                  <c:v>4498887</c:v>
                </c:pt>
                <c:pt idx="7">
                  <c:v>3093383</c:v>
                </c:pt>
                <c:pt idx="8">
                  <c:v>2934780</c:v>
                </c:pt>
                <c:pt idx="9">
                  <c:v>14516965</c:v>
                </c:pt>
                <c:pt idx="10">
                  <c:v>9085000</c:v>
                </c:pt>
              </c:numCache>
            </c:numRef>
          </c:val>
        </c:ser>
        <c:ser>
          <c:idx val="1"/>
          <c:order val="1"/>
          <c:tx>
            <c:strRef>
              <c:f>'2012 Q1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Q1 GF'!$H$49:$H$59</c:f>
              <c:numCache>
                <c:formatCode>#,##0</c:formatCode>
                <c:ptCount val="11"/>
                <c:pt idx="0" formatCode="&quot;$&quot;#,##0_);[Red]\(&quot;$&quot;#,##0\)">
                  <c:v>190116</c:v>
                </c:pt>
                <c:pt idx="1">
                  <c:v>372568</c:v>
                </c:pt>
                <c:pt idx="2">
                  <c:v>2906757</c:v>
                </c:pt>
                <c:pt idx="3">
                  <c:v>6941742</c:v>
                </c:pt>
                <c:pt idx="4">
                  <c:v>23301741</c:v>
                </c:pt>
                <c:pt idx="5">
                  <c:v>9572681</c:v>
                </c:pt>
                <c:pt idx="6">
                  <c:v>9881039</c:v>
                </c:pt>
                <c:pt idx="7">
                  <c:v>7374657</c:v>
                </c:pt>
                <c:pt idx="8">
                  <c:v>7418635</c:v>
                </c:pt>
                <c:pt idx="9">
                  <c:v>30754714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56192"/>
        <c:axId val="122858112"/>
      </c:barChart>
      <c:lineChart>
        <c:grouping val="stacked"/>
        <c:varyColors val="0"/>
        <c:ser>
          <c:idx val="2"/>
          <c:order val="2"/>
          <c:tx>
            <c:strRef>
              <c:f>'2012 Q1 GF'!$G$48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GF'!$I$49:$I$59</c:f>
              <c:numCache>
                <c:formatCode>0%</c:formatCode>
                <c:ptCount val="1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56192"/>
        <c:axId val="122858112"/>
      </c:lineChart>
      <c:catAx>
        <c:axId val="122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85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5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856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3561118762"/>
          <c:y val="0.92548082937294307"/>
          <c:w val="0.53502238229189958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50144"/>
        <c:axId val="124151680"/>
      </c:barChart>
      <c:catAx>
        <c:axId val="124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5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5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53984"/>
        <c:axId val="36200832"/>
      </c:barChart>
      <c:catAx>
        <c:axId val="361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0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0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53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69600"/>
        <c:axId val="124191872"/>
      </c:barChart>
      <c:catAx>
        <c:axId val="1241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9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9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6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26176"/>
        <c:axId val="124232064"/>
      </c:barChart>
      <c:catAx>
        <c:axId val="1242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3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23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26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31904"/>
        <c:axId val="124333440"/>
      </c:barChart>
      <c:catAx>
        <c:axId val="1243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3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3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3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1st Quarter of Fiscal Year</a:t>
            </a:r>
          </a:p>
        </c:rich>
      </c:tx>
      <c:layout>
        <c:manualLayout>
          <c:xMode val="edge"/>
          <c:yMode val="edge"/>
          <c:x val="0.33284060731346632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GF'!$M$16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GF'!$M$17:$M$23</c:f>
              <c:numCache>
                <c:formatCode>0.00%</c:formatCode>
                <c:ptCount val="7"/>
                <c:pt idx="0">
                  <c:v>0.441469449141071</c:v>
                </c:pt>
                <c:pt idx="1">
                  <c:v>0.625</c:v>
                </c:pt>
                <c:pt idx="2">
                  <c:v>0.47964541232584412</c:v>
                </c:pt>
                <c:pt idx="3">
                  <c:v>0.21834630036517955</c:v>
                </c:pt>
                <c:pt idx="4">
                  <c:v>0.2297852206273259</c:v>
                </c:pt>
                <c:pt idx="5">
                  <c:v>8.7078629431570603E-2</c:v>
                </c:pt>
                <c:pt idx="6">
                  <c:v>0.10561425959780621</c:v>
                </c:pt>
              </c:numCache>
            </c:numRef>
          </c:val>
        </c:ser>
        <c:ser>
          <c:idx val="3"/>
          <c:order val="1"/>
          <c:tx>
            <c:strRef>
              <c:f>'2012 Q1 GF'!$Q$16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GF'!$Q$17:$Q$23</c:f>
              <c:numCache>
                <c:formatCode>0.00%</c:formatCode>
                <c:ptCount val="7"/>
                <c:pt idx="0">
                  <c:v>0.56555508456848436</c:v>
                </c:pt>
                <c:pt idx="1">
                  <c:v>0.25</c:v>
                </c:pt>
                <c:pt idx="2">
                  <c:v>6.0070407405873411E-2</c:v>
                </c:pt>
                <c:pt idx="3">
                  <c:v>0.219579457132904</c:v>
                </c:pt>
                <c:pt idx="4">
                  <c:v>0.17822811693450649</c:v>
                </c:pt>
                <c:pt idx="5">
                  <c:v>0.23049511219935837</c:v>
                </c:pt>
                <c:pt idx="6">
                  <c:v>0.22219394648539878</c:v>
                </c:pt>
              </c:numCache>
            </c:numRef>
          </c:val>
        </c:ser>
        <c:ser>
          <c:idx val="0"/>
          <c:order val="2"/>
          <c:tx>
            <c:strRef>
              <c:f>'2012 Q1 GF'!$U$16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'2012 Q1 GF'!$U$17:$U$23</c:f>
              <c:numCache>
                <c:formatCode>0.00%</c:formatCode>
                <c:ptCount val="7"/>
                <c:pt idx="0">
                  <c:v>0.47410296220320286</c:v>
                </c:pt>
                <c:pt idx="1">
                  <c:v>0.2</c:v>
                </c:pt>
                <c:pt idx="2">
                  <c:v>3.2770106220383115E-2</c:v>
                </c:pt>
                <c:pt idx="3">
                  <c:v>0.19487334992214345</c:v>
                </c:pt>
                <c:pt idx="4">
                  <c:v>0.21016330387147389</c:v>
                </c:pt>
                <c:pt idx="5">
                  <c:v>0.13684834316706085</c:v>
                </c:pt>
                <c:pt idx="6">
                  <c:v>0.1595479223916445</c:v>
                </c:pt>
              </c:numCache>
            </c:numRef>
          </c:val>
        </c:ser>
        <c:ser>
          <c:idx val="1"/>
          <c:order val="3"/>
          <c:tx>
            <c:strRef>
              <c:f>'2012 Q1 GF'!$Y$16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GF'!$Y$17:$Y$23</c:f>
              <c:numCache>
                <c:formatCode>0.00%</c:formatCode>
                <c:ptCount val="7"/>
                <c:pt idx="0">
                  <c:v>0.43994742951361576</c:v>
                </c:pt>
                <c:pt idx="1">
                  <c:v>0.25</c:v>
                </c:pt>
                <c:pt idx="2">
                  <c:v>6.1367686372707092E-2</c:v>
                </c:pt>
                <c:pt idx="3">
                  <c:v>0.1958720945689679</c:v>
                </c:pt>
                <c:pt idx="4">
                  <c:v>0.22635978265100312</c:v>
                </c:pt>
                <c:pt idx="5">
                  <c:v>0.23237839852596565</c:v>
                </c:pt>
                <c:pt idx="6">
                  <c:v>0.18173093999563225</c:v>
                </c:pt>
              </c:numCache>
            </c:numRef>
          </c:val>
        </c:ser>
        <c:ser>
          <c:idx val="2"/>
          <c:order val="4"/>
          <c:tx>
            <c:strRef>
              <c:f>'2012 Q1 GF'!$AC$16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GF'!$AC$17:$AC$23</c:f>
              <c:numCache>
                <c:formatCode>0.00%</c:formatCode>
                <c:ptCount val="7"/>
                <c:pt idx="0">
                  <c:v>0.4455491771104601</c:v>
                </c:pt>
                <c:pt idx="1">
                  <c:v>0.25</c:v>
                </c:pt>
                <c:pt idx="2">
                  <c:v>0.14295814228937226</c:v>
                </c:pt>
                <c:pt idx="3">
                  <c:v>0.24245529799551296</c:v>
                </c:pt>
                <c:pt idx="4">
                  <c:v>0.20948846589909664</c:v>
                </c:pt>
                <c:pt idx="5">
                  <c:v>0.20454940692446705</c:v>
                </c:pt>
                <c:pt idx="6">
                  <c:v>4.8674176604927843E-2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81824"/>
        <c:axId val="124387712"/>
      </c:barChart>
      <c:catAx>
        <c:axId val="1243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38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877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38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7831432578"/>
          <c:y val="0.9152569395874226"/>
          <c:w val="0.252815986497263"/>
          <c:h val="5.50609540569606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1st Quarter of Fiscal Year</a:t>
            </a:r>
          </a:p>
        </c:rich>
      </c:tx>
      <c:layout>
        <c:manualLayout>
          <c:xMode val="edge"/>
          <c:yMode val="edge"/>
          <c:x val="0.3338369224931220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GF'!$M$48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GF'!$M$49:$M$59</c:f>
              <c:numCache>
                <c:formatCode>0.00%</c:formatCode>
                <c:ptCount val="11"/>
                <c:pt idx="0">
                  <c:v>0.26948141772463191</c:v>
                </c:pt>
                <c:pt idx="1">
                  <c:v>1.0101761564417992E-2</c:v>
                </c:pt>
                <c:pt idx="2">
                  <c:v>0.17878500308369832</c:v>
                </c:pt>
                <c:pt idx="3">
                  <c:v>0.32243825877144178</c:v>
                </c:pt>
                <c:pt idx="4">
                  <c:v>0.24906268755916816</c:v>
                </c:pt>
                <c:pt idx="5">
                  <c:v>0.18572730508181617</c:v>
                </c:pt>
                <c:pt idx="6">
                  <c:v>0.31285884224995314</c:v>
                </c:pt>
                <c:pt idx="7">
                  <c:v>0.29550737291794832</c:v>
                </c:pt>
                <c:pt idx="8">
                  <c:v>0.28346009505076342</c:v>
                </c:pt>
                <c:pt idx="9">
                  <c:v>0.32066327824952107</c:v>
                </c:pt>
                <c:pt idx="10">
                  <c:v>1</c:v>
                </c:pt>
              </c:numCache>
            </c:numRef>
          </c:val>
        </c:ser>
        <c:ser>
          <c:idx val="3"/>
          <c:order val="1"/>
          <c:tx>
            <c:strRef>
              <c:f>'2012 Q1 GF'!$Q$48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GF'!$Q$49:$Q$59</c:f>
              <c:numCache>
                <c:formatCode>0.00%</c:formatCode>
                <c:ptCount val="11"/>
                <c:pt idx="0">
                  <c:v>0.17875996765960145</c:v>
                </c:pt>
                <c:pt idx="1">
                  <c:v>0.4126285304354757</c:v>
                </c:pt>
                <c:pt idx="2">
                  <c:v>0.14174435816729775</c:v>
                </c:pt>
                <c:pt idx="3">
                  <c:v>0.18283471661212616</c:v>
                </c:pt>
                <c:pt idx="4">
                  <c:v>0.26435654459877644</c:v>
                </c:pt>
                <c:pt idx="5">
                  <c:v>0.17202597301021527</c:v>
                </c:pt>
                <c:pt idx="6">
                  <c:v>0.19374748233082034</c:v>
                </c:pt>
                <c:pt idx="7">
                  <c:v>0.19606803499036765</c:v>
                </c:pt>
                <c:pt idx="8">
                  <c:v>0.18406700413266008</c:v>
                </c:pt>
                <c:pt idx="9">
                  <c:v>0.22246286551449573</c:v>
                </c:pt>
                <c:pt idx="10">
                  <c:v>0.310529128808124</c:v>
                </c:pt>
              </c:numCache>
            </c:numRef>
          </c:val>
        </c:ser>
        <c:ser>
          <c:idx val="0"/>
          <c:order val="2"/>
          <c:tx>
            <c:strRef>
              <c:f>'2012 Q1 GF'!$U$48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'2012 Q1 GF'!$U$49:$U$59</c:f>
              <c:numCache>
                <c:formatCode>0.00%</c:formatCode>
                <c:ptCount val="11"/>
                <c:pt idx="0">
                  <c:v>0.19900081323389399</c:v>
                </c:pt>
                <c:pt idx="1">
                  <c:v>0.12893696672095681</c:v>
                </c:pt>
                <c:pt idx="2">
                  <c:v>0.12185816250046731</c:v>
                </c:pt>
                <c:pt idx="3">
                  <c:v>0.21334383571474172</c:v>
                </c:pt>
                <c:pt idx="4">
                  <c:v>0.1624069395362375</c:v>
                </c:pt>
                <c:pt idx="5">
                  <c:v>0.21601079426431788</c:v>
                </c:pt>
                <c:pt idx="6">
                  <c:v>0.20987086109448316</c:v>
                </c:pt>
                <c:pt idx="7">
                  <c:v>0.22989079167659243</c:v>
                </c:pt>
                <c:pt idx="8">
                  <c:v>0.18266799547799736</c:v>
                </c:pt>
                <c:pt idx="9">
                  <c:v>0.22992714921835056</c:v>
                </c:pt>
                <c:pt idx="10">
                  <c:v>0</c:v>
                </c:pt>
              </c:numCache>
            </c:numRef>
          </c:val>
        </c:ser>
        <c:ser>
          <c:idx val="1"/>
          <c:order val="3"/>
          <c:tx>
            <c:strRef>
              <c:f>'2012 Q1 GF'!$Y$48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GF'!$Y$49:$Y$59</c:f>
              <c:numCache>
                <c:formatCode>0.00%</c:formatCode>
                <c:ptCount val="11"/>
                <c:pt idx="0">
                  <c:v>0.16616294153025896</c:v>
                </c:pt>
                <c:pt idx="1">
                  <c:v>0.43226004663283502</c:v>
                </c:pt>
                <c:pt idx="2">
                  <c:v>0.12298868548639791</c:v>
                </c:pt>
                <c:pt idx="3">
                  <c:v>0.13145364818582114</c:v>
                </c:pt>
                <c:pt idx="4">
                  <c:v>0.13399036061802447</c:v>
                </c:pt>
                <c:pt idx="5">
                  <c:v>0.23340508412537969</c:v>
                </c:pt>
                <c:pt idx="6">
                  <c:v>0.16432066122679406</c:v>
                </c:pt>
                <c:pt idx="7">
                  <c:v>0.1732280884392077</c:v>
                </c:pt>
                <c:pt idx="8">
                  <c:v>0.1567415312208664</c:v>
                </c:pt>
                <c:pt idx="9">
                  <c:v>0.18497064745907685</c:v>
                </c:pt>
                <c:pt idx="10">
                  <c:v>0.22967961301741363</c:v>
                </c:pt>
              </c:numCache>
            </c:numRef>
          </c:val>
        </c:ser>
        <c:ser>
          <c:idx val="2"/>
          <c:order val="4"/>
          <c:tx>
            <c:strRef>
              <c:f>'2012 Q1 GF'!$AE$48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GF'!$AE$49:$AE$59</c:f>
              <c:numCache>
                <c:formatCode>0.00%</c:formatCode>
                <c:ptCount val="11"/>
                <c:pt idx="0">
                  <c:v>0.13736698524408264</c:v>
                </c:pt>
                <c:pt idx="1">
                  <c:v>0.43591234195745043</c:v>
                </c:pt>
                <c:pt idx="2">
                  <c:v>0.1889051024999846</c:v>
                </c:pt>
                <c:pt idx="3">
                  <c:v>0.17552326912867858</c:v>
                </c:pt>
                <c:pt idx="4">
                  <c:v>0.10414821492829741</c:v>
                </c:pt>
                <c:pt idx="5">
                  <c:v>0.13525057795969705</c:v>
                </c:pt>
                <c:pt idx="6">
                  <c:v>0.16973021640796615</c:v>
                </c:pt>
                <c:pt idx="7">
                  <c:v>0.16745348980815764</c:v>
                </c:pt>
                <c:pt idx="8">
                  <c:v>0.16449178392525535</c:v>
                </c:pt>
                <c:pt idx="9">
                  <c:v>0.18350159827072163</c:v>
                </c:pt>
                <c:pt idx="10">
                  <c:v>0.11053567467051803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32384"/>
        <c:axId val="124433920"/>
      </c:barChart>
      <c:catAx>
        <c:axId val="1244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4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339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43238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05540269"/>
          <c:y val="0.93287255759696708"/>
          <c:w val="0.25096575277487909"/>
          <c:h val="3.8931769331302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Revenue by Source</a:t>
            </a:r>
          </a:p>
        </c:rich>
      </c:tx>
      <c:layout>
        <c:manualLayout>
          <c:xMode val="edge"/>
          <c:yMode val="edge"/>
          <c:x val="0.2906109739241175"/>
          <c:y val="1.4084618252801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GF'!$D$16</c:f>
              <c:strCache>
                <c:ptCount val="1"/>
                <c:pt idx="0">
                  <c:v>YTD Collections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GF'!$D$17:$D$23</c:f>
              <c:numCache>
                <c:formatCode>#,##0_);[Red]\(#,##0\)</c:formatCode>
                <c:ptCount val="7"/>
                <c:pt idx="0" formatCode="&quot;$&quot;#,##0_);[Red]\(&quot;$&quot;#,##0\)">
                  <c:v>130891250</c:v>
                </c:pt>
                <c:pt idx="1">
                  <c:v>6000</c:v>
                </c:pt>
                <c:pt idx="2">
                  <c:v>3350379</c:v>
                </c:pt>
                <c:pt idx="3">
                  <c:v>15709446</c:v>
                </c:pt>
                <c:pt idx="4">
                  <c:v>1989665</c:v>
                </c:pt>
                <c:pt idx="5">
                  <c:v>1750128</c:v>
                </c:pt>
                <c:pt idx="6">
                  <c:v>732982</c:v>
                </c:pt>
              </c:numCache>
            </c:numRef>
          </c:val>
        </c:ser>
        <c:ser>
          <c:idx val="1"/>
          <c:order val="1"/>
          <c:tx>
            <c:strRef>
              <c:f>'2011 Q4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GF'!$H$17:$H$23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97280"/>
        <c:axId val="124503552"/>
      </c:barChart>
      <c:lineChart>
        <c:grouping val="stacked"/>
        <c:varyColors val="0"/>
        <c:ser>
          <c:idx val="2"/>
          <c:order val="2"/>
          <c:tx>
            <c:strRef>
              <c:f>'2011 Q4 GF'!$I$16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GF'!$I$17:$I$23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97280"/>
        <c:axId val="124503552"/>
      </c:lineChart>
      <c:catAx>
        <c:axId val="1244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50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50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497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09739241175"/>
          <c:y val="0.93239547006484913"/>
          <c:w val="0.4798807249685505"/>
          <c:h val="5.91549872421935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Expenditures by Function Area</a:t>
            </a:r>
          </a:p>
        </c:rich>
      </c:tx>
      <c:layout>
        <c:manualLayout>
          <c:xMode val="edge"/>
          <c:yMode val="edge"/>
          <c:x val="0.2369597680886904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GF'!$D$48</c:f>
              <c:strCache>
                <c:ptCount val="1"/>
                <c:pt idx="0">
                  <c:v>YTD Expenditures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Q4 GF'!$D$49:$D$59</c:f>
              <c:numCache>
                <c:formatCode>#,##0_);[Red]\(#,##0\)</c:formatCode>
                <c:ptCount val="11"/>
                <c:pt idx="0" formatCode="&quot;$&quot;#,##0_);[Red]\(&quot;$&quot;#,##0\)">
                  <c:v>270030</c:v>
                </c:pt>
                <c:pt idx="1">
                  <c:v>367440</c:v>
                </c:pt>
                <c:pt idx="2">
                  <c:v>2538909</c:v>
                </c:pt>
                <c:pt idx="3">
                  <c:v>9806126</c:v>
                </c:pt>
                <c:pt idx="4">
                  <c:v>63223505</c:v>
                </c:pt>
                <c:pt idx="5">
                  <c:v>11267992</c:v>
                </c:pt>
                <c:pt idx="6">
                  <c:v>13801449</c:v>
                </c:pt>
                <c:pt idx="7">
                  <c:v>10121700</c:v>
                </c:pt>
                <c:pt idx="8">
                  <c:v>9578543</c:v>
                </c:pt>
                <c:pt idx="9">
                  <c:v>44235446</c:v>
                </c:pt>
                <c:pt idx="10">
                  <c:v>9430590</c:v>
                </c:pt>
              </c:numCache>
            </c:numRef>
          </c:val>
        </c:ser>
        <c:ser>
          <c:idx val="1"/>
          <c:order val="1"/>
          <c:tx>
            <c:strRef>
              <c:f>'2011 Q4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Q4 GF'!$H$49:$H$59</c:f>
              <c:numCache>
                <c:formatCode>#,##0</c:formatCode>
                <c:ptCount val="11"/>
                <c:pt idx="0" formatCode="&quot;$&quot;#,##0_);[Red]\(&quot;$&quot;#,##0\)">
                  <c:v>45365</c:v>
                </c:pt>
                <c:pt idx="1">
                  <c:v>8930</c:v>
                </c:pt>
                <c:pt idx="2">
                  <c:v>353192</c:v>
                </c:pt>
                <c:pt idx="3">
                  <c:v>780195</c:v>
                </c:pt>
                <c:pt idx="4">
                  <c:v>0</c:v>
                </c:pt>
                <c:pt idx="5">
                  <c:v>1082829</c:v>
                </c:pt>
                <c:pt idx="6">
                  <c:v>787938</c:v>
                </c:pt>
                <c:pt idx="7">
                  <c:v>773870</c:v>
                </c:pt>
                <c:pt idx="8">
                  <c:v>639573</c:v>
                </c:pt>
                <c:pt idx="9">
                  <c:v>1269897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505664"/>
        <c:axId val="123507840"/>
      </c:barChart>
      <c:lineChart>
        <c:grouping val="stacked"/>
        <c:varyColors val="0"/>
        <c:ser>
          <c:idx val="2"/>
          <c:order val="2"/>
          <c:tx>
            <c:strRef>
              <c:f>'2011 Q4 GF'!$G$48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GF'!$I$49:$I$59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05664"/>
        <c:axId val="123507840"/>
      </c:lineChart>
      <c:catAx>
        <c:axId val="1235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5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5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505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1710737647"/>
          <c:y val="0.92548082937294307"/>
          <c:w val="0.53502236847259765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33952"/>
        <c:axId val="123543936"/>
      </c:barChart>
      <c:catAx>
        <c:axId val="1235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4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54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3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65952"/>
        <c:axId val="123567488"/>
      </c:barChart>
      <c:catAx>
        <c:axId val="1235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6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56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65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18432"/>
        <c:axId val="123619968"/>
      </c:barChart>
      <c:catAx>
        <c:axId val="1236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61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618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Revenue 
Collected thru 4th Quarter of Fiscal Year</a:t>
            </a:r>
          </a:p>
        </c:rich>
      </c:tx>
      <c:layout>
        <c:manualLayout>
          <c:xMode val="edge"/>
          <c:yMode val="edge"/>
          <c:x val="0.24670025324433276"/>
          <c:y val="3.3898409757603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GF'!$M$16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GF'!$M$17:$M$23</c:f>
              <c:numCache>
                <c:formatCode>0.00%</c:formatCode>
                <c:ptCount val="7"/>
                <c:pt idx="0">
                  <c:v>1.010920281501084</c:v>
                </c:pt>
                <c:pt idx="1">
                  <c:v>1.3572437275985663</c:v>
                </c:pt>
                <c:pt idx="2">
                  <c:v>1.0882415064272648</c:v>
                </c:pt>
                <c:pt idx="3">
                  <c:v>0.99610153946399382</c:v>
                </c:pt>
                <c:pt idx="4">
                  <c:v>1.0824114302896559</c:v>
                </c:pt>
                <c:pt idx="5">
                  <c:v>0.47741234678463318</c:v>
                </c:pt>
                <c:pt idx="6">
                  <c:v>5.4781901140684415</c:v>
                </c:pt>
              </c:numCache>
            </c:numRef>
          </c:val>
        </c:ser>
        <c:ser>
          <c:idx val="4"/>
          <c:order val="1"/>
          <c:tx>
            <c:strRef>
              <c:f>'2013 Q4 GF'!$P$16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GF'!$P$17:$P$23</c:f>
              <c:numCache>
                <c:formatCode>0.00%</c:formatCode>
                <c:ptCount val="7"/>
                <c:pt idx="0">
                  <c:v>1.0077999243731959</c:v>
                </c:pt>
                <c:pt idx="1">
                  <c:v>0.875</c:v>
                </c:pt>
                <c:pt idx="2">
                  <c:v>0.95645820258566583</c:v>
                </c:pt>
                <c:pt idx="3">
                  <c:v>0.80213768502169236</c:v>
                </c:pt>
                <c:pt idx="4">
                  <c:v>0.83187666135034555</c:v>
                </c:pt>
                <c:pt idx="5">
                  <c:v>0.35443602693602694</c:v>
                </c:pt>
                <c:pt idx="6">
                  <c:v>0.95835100548446073</c:v>
                </c:pt>
              </c:numCache>
            </c:numRef>
          </c:val>
        </c:ser>
        <c:ser>
          <c:idx val="3"/>
          <c:order val="2"/>
          <c:tx>
            <c:strRef>
              <c:f>'2013 Q4 GF'!$T$16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GF'!$T$17:$T$23</c:f>
              <c:numCache>
                <c:formatCode>0.00%</c:formatCode>
                <c:ptCount val="7"/>
                <c:pt idx="0">
                  <c:v>0.99204730497922822</c:v>
                </c:pt>
                <c:pt idx="1">
                  <c:v>0.91666666666666663</c:v>
                </c:pt>
                <c:pt idx="2">
                  <c:v>0.73000432950868566</c:v>
                </c:pt>
                <c:pt idx="3">
                  <c:v>0.73429379743808099</c:v>
                </c:pt>
                <c:pt idx="4">
                  <c:v>0.71409831326897411</c:v>
                </c:pt>
                <c:pt idx="5">
                  <c:v>0.66805300565677284</c:v>
                </c:pt>
                <c:pt idx="6">
                  <c:v>0.78505484472685205</c:v>
                </c:pt>
              </c:numCache>
            </c:numRef>
          </c:val>
        </c:ser>
        <c:ser>
          <c:idx val="0"/>
          <c:order val="3"/>
          <c:tx>
            <c:strRef>
              <c:f>'2013 Q4 GF'!$X$16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Q4 GF'!$X$17:$X$23</c:f>
              <c:numCache>
                <c:formatCode>0.00%</c:formatCode>
                <c:ptCount val="7"/>
                <c:pt idx="0">
                  <c:v>0.99367755149214021</c:v>
                </c:pt>
                <c:pt idx="1">
                  <c:v>1</c:v>
                </c:pt>
                <c:pt idx="2">
                  <c:v>0.60212515983714143</c:v>
                </c:pt>
                <c:pt idx="3">
                  <c:v>0.73913405491261974</c:v>
                </c:pt>
                <c:pt idx="4">
                  <c:v>0.72115154346726862</c:v>
                </c:pt>
                <c:pt idx="5">
                  <c:v>0.69082899805454123</c:v>
                </c:pt>
                <c:pt idx="6">
                  <c:v>0.63968330775844373</c:v>
                </c:pt>
              </c:numCache>
            </c:numRef>
          </c:val>
        </c:ser>
        <c:ser>
          <c:idx val="1"/>
          <c:order val="4"/>
          <c:tx>
            <c:strRef>
              <c:f>'2013 Q4 GF'!$AB$16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GF'!$AB$17:$AB$23</c:f>
              <c:numCache>
                <c:formatCode>0.00%</c:formatCode>
                <c:ptCount val="7"/>
                <c:pt idx="0">
                  <c:v>0.98782278418745428</c:v>
                </c:pt>
                <c:pt idx="1">
                  <c:v>0.875</c:v>
                </c:pt>
                <c:pt idx="2">
                  <c:v>0.55877596607035307</c:v>
                </c:pt>
                <c:pt idx="3">
                  <c:v>0.72013515453758148</c:v>
                </c:pt>
                <c:pt idx="4">
                  <c:v>0.75389423662365773</c:v>
                </c:pt>
                <c:pt idx="5">
                  <c:v>0.72340580418383327</c:v>
                </c:pt>
                <c:pt idx="6">
                  <c:v>0.43335973855177928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6192"/>
        <c:axId val="36373632"/>
      </c:barChart>
      <c:catAx>
        <c:axId val="362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637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736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21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62720"/>
        <c:axId val="123664256"/>
      </c:barChart>
      <c:catAx>
        <c:axId val="1236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66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662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4th Quarter of Fiscal Year</a:t>
            </a:r>
          </a:p>
        </c:rich>
      </c:tx>
      <c:layout>
        <c:manualLayout>
          <c:xMode val="edge"/>
          <c:yMode val="edge"/>
          <c:x val="0.33284048692726464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GF'!$M$16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GF'!$M$17:$M$23</c:f>
              <c:numCache>
                <c:formatCode>0.00%</c:formatCode>
                <c:ptCount val="7"/>
                <c:pt idx="0">
                  <c:v>1.0002121294487867</c:v>
                </c:pt>
                <c:pt idx="1">
                  <c:v>1.5</c:v>
                </c:pt>
                <c:pt idx="2">
                  <c:v>1.0114727278929905</c:v>
                </c:pt>
                <c:pt idx="3">
                  <c:v>1.0331755081811183</c:v>
                </c:pt>
                <c:pt idx="4">
                  <c:v>1.1382522883295194</c:v>
                </c:pt>
                <c:pt idx="5">
                  <c:v>1.5631725616291532</c:v>
                </c:pt>
                <c:pt idx="6">
                  <c:v>1.5802474991376336</c:v>
                </c:pt>
              </c:numCache>
            </c:numRef>
          </c:val>
        </c:ser>
        <c:ser>
          <c:idx val="0"/>
          <c:order val="1"/>
          <c:tx>
            <c:strRef>
              <c:f>'2011 Q4 GF'!$Q$16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Q4 GF'!$Q$17:$Q$23</c:f>
              <c:numCache>
                <c:formatCode>0.00%</c:formatCode>
                <c:ptCount val="7"/>
                <c:pt idx="0">
                  <c:v>0.99790360396313094</c:v>
                </c:pt>
                <c:pt idx="1">
                  <c:v>1</c:v>
                </c:pt>
                <c:pt idx="2">
                  <c:v>0.83012106688061871</c:v>
                </c:pt>
                <c:pt idx="3">
                  <c:v>0.98318440949761421</c:v>
                </c:pt>
                <c:pt idx="4">
                  <c:v>0.98543818087887081</c:v>
                </c:pt>
                <c:pt idx="5">
                  <c:v>0.99352833687225883</c:v>
                </c:pt>
                <c:pt idx="6">
                  <c:v>0.7820916063590212</c:v>
                </c:pt>
              </c:numCache>
            </c:numRef>
          </c:val>
        </c:ser>
        <c:ser>
          <c:idx val="1"/>
          <c:order val="2"/>
          <c:tx>
            <c:strRef>
              <c:f>'2011 Q4 GF'!$U$16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GF'!$U$17:$U$23</c:f>
              <c:numCache>
                <c:formatCode>0.00%</c:formatCode>
                <c:ptCount val="7"/>
                <c:pt idx="0">
                  <c:v>0.99831045713616318</c:v>
                </c:pt>
                <c:pt idx="1">
                  <c:v>1</c:v>
                </c:pt>
                <c:pt idx="2">
                  <c:v>0.99852085449258454</c:v>
                </c:pt>
                <c:pt idx="3">
                  <c:v>0.9810958404600193</c:v>
                </c:pt>
                <c:pt idx="4">
                  <c:v>0.9828365809697126</c:v>
                </c:pt>
                <c:pt idx="5">
                  <c:v>0.99944614075874028</c:v>
                </c:pt>
                <c:pt idx="6">
                  <c:v>0.99277479163495741</c:v>
                </c:pt>
              </c:numCache>
            </c:numRef>
          </c:val>
        </c:ser>
        <c:ser>
          <c:idx val="2"/>
          <c:order val="3"/>
          <c:tx>
            <c:strRef>
              <c:f>'2011 Q4 GF'!$Y$16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GF'!$Y$17:$Y$23</c:f>
              <c:numCache>
                <c:formatCode>0.00%</c:formatCode>
                <c:ptCount val="7"/>
                <c:pt idx="0">
                  <c:v>1.0000000000000002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17792"/>
        <c:axId val="124819328"/>
      </c:barChart>
      <c:catAx>
        <c:axId val="1248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81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8193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817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2885815091"/>
          <c:y val="0.9152569395874226"/>
          <c:w val="0.24116887466218062"/>
          <c:h val="5.77054802247140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4th Quarter of Fiscal Year</a:t>
            </a:r>
          </a:p>
        </c:rich>
      </c:tx>
      <c:layout>
        <c:manualLayout>
          <c:xMode val="edge"/>
          <c:yMode val="edge"/>
          <c:x val="0.3338367967161999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GF'!$M$48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GF'!$M$49:$M$59</c:f>
              <c:numCache>
                <c:formatCode>0.00%</c:formatCode>
                <c:ptCount val="11"/>
                <c:pt idx="0">
                  <c:v>0.85616449214477086</c:v>
                </c:pt>
                <c:pt idx="1">
                  <c:v>0.97627334803517818</c:v>
                </c:pt>
                <c:pt idx="2">
                  <c:v>0.87787701743473001</c:v>
                </c:pt>
                <c:pt idx="3">
                  <c:v>0.92630159240400889</c:v>
                </c:pt>
                <c:pt idx="4">
                  <c:v>1.727692003861049</c:v>
                </c:pt>
                <c:pt idx="5">
                  <c:v>0.91232736673942572</c:v>
                </c:pt>
                <c:pt idx="6">
                  <c:v>0.94599238473830327</c:v>
                </c:pt>
                <c:pt idx="7">
                  <c:v>0.92897388571685557</c:v>
                </c:pt>
                <c:pt idx="8">
                  <c:v>0.93740793312583259</c:v>
                </c:pt>
                <c:pt idx="9">
                  <c:v>0.97209345285014115</c:v>
                </c:pt>
                <c:pt idx="10">
                  <c:v>1.0080801710315339</c:v>
                </c:pt>
              </c:numCache>
            </c:numRef>
          </c:val>
        </c:ser>
        <c:ser>
          <c:idx val="0"/>
          <c:order val="1"/>
          <c:tx>
            <c:strRef>
              <c:f>'2011 Q4 GF'!$Q$48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Q4 GF'!$Q$49:$Q$59</c:f>
              <c:numCache>
                <c:formatCode>0.00%</c:formatCode>
                <c:ptCount val="11"/>
                <c:pt idx="0">
                  <c:v>0.88779726012905957</c:v>
                </c:pt>
                <c:pt idx="1">
                  <c:v>1.0305216471789387</c:v>
                </c:pt>
                <c:pt idx="2">
                  <c:v>0.82334401772915111</c:v>
                </c:pt>
                <c:pt idx="3">
                  <c:v>0.93240581356412167</c:v>
                </c:pt>
                <c:pt idx="4">
                  <c:v>0.79497428981161977</c:v>
                </c:pt>
                <c:pt idx="5">
                  <c:v>0.93447041949617571</c:v>
                </c:pt>
                <c:pt idx="6">
                  <c:v>0.92522154236963361</c:v>
                </c:pt>
                <c:pt idx="7">
                  <c:v>0.95671528412622076</c:v>
                </c:pt>
                <c:pt idx="8">
                  <c:v>0.85987143755013418</c:v>
                </c:pt>
                <c:pt idx="9">
                  <c:v>0.96601825992031931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2"/>
          <c:tx>
            <c:strRef>
              <c:f>'2011 Q4 GF'!$U$48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GF'!$U$49:$U$59</c:f>
              <c:numCache>
                <c:formatCode>0.00%</c:formatCode>
                <c:ptCount val="11"/>
                <c:pt idx="0">
                  <c:v>0.9032246622994522</c:v>
                </c:pt>
                <c:pt idx="1">
                  <c:v>0.9722252679428649</c:v>
                </c:pt>
                <c:pt idx="2">
                  <c:v>0.79914891635330043</c:v>
                </c:pt>
                <c:pt idx="3">
                  <c:v>0.93059311151453006</c:v>
                </c:pt>
                <c:pt idx="4">
                  <c:v>0.66010099763792907</c:v>
                </c:pt>
                <c:pt idx="5">
                  <c:v>0.98249967028930962</c:v>
                </c:pt>
                <c:pt idx="6">
                  <c:v>0.92512657692668887</c:v>
                </c:pt>
                <c:pt idx="7">
                  <c:v>0.95716377753209736</c:v>
                </c:pt>
                <c:pt idx="8">
                  <c:v>0.88906449410421085</c:v>
                </c:pt>
                <c:pt idx="9">
                  <c:v>0.97622472556607387</c:v>
                </c:pt>
                <c:pt idx="10">
                  <c:v>1.0819622034635226</c:v>
                </c:pt>
              </c:numCache>
            </c:numRef>
          </c:val>
        </c:ser>
        <c:ser>
          <c:idx val="2"/>
          <c:order val="3"/>
          <c:tx>
            <c:strRef>
              <c:f>'2011 Q4 GF'!$AA$48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GF'!$AA$49:$AA$59</c:f>
              <c:numCache>
                <c:formatCode>0.00%</c:formatCode>
                <c:ptCount val="11"/>
                <c:pt idx="0">
                  <c:v>0.91356968140214934</c:v>
                </c:pt>
                <c:pt idx="1">
                  <c:v>0.92792860705688451</c:v>
                </c:pt>
                <c:pt idx="2">
                  <c:v>1.1826490426006251</c:v>
                </c:pt>
                <c:pt idx="3">
                  <c:v>0.9788877209290423</c:v>
                </c:pt>
                <c:pt idx="4">
                  <c:v>0.64010420902575316</c:v>
                </c:pt>
                <c:pt idx="5">
                  <c:v>1.0501811975433417</c:v>
                </c:pt>
                <c:pt idx="6">
                  <c:v>0.98818768452786376</c:v>
                </c:pt>
                <c:pt idx="7">
                  <c:v>0.97609982482539359</c:v>
                </c:pt>
                <c:pt idx="8">
                  <c:v>0.99226576296746927</c:v>
                </c:pt>
                <c:pt idx="9">
                  <c:v>0.99449215271522828</c:v>
                </c:pt>
                <c:pt idx="10">
                  <c:v>1.9991913210041106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36576"/>
        <c:axId val="124938112"/>
      </c:barChart>
      <c:catAx>
        <c:axId val="1249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93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381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93657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76869339"/>
          <c:y val="0.93287255759696708"/>
          <c:w val="0.24044489175695144"/>
          <c:h val="4.65990516617521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Revenue by Source</a:t>
            </a:r>
          </a:p>
        </c:rich>
      </c:tx>
      <c:layout>
        <c:manualLayout>
          <c:xMode val="edge"/>
          <c:yMode val="edge"/>
          <c:x val="0.2906109739241175"/>
          <c:y val="1.4084618252801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GF'!$D$16</c:f>
              <c:strCache>
                <c:ptCount val="1"/>
                <c:pt idx="0">
                  <c:v>YTD Collections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GF'!$D$17:$D$23</c:f>
              <c:numCache>
                <c:formatCode>#,##0_);[Red]\(#,##0\)</c:formatCode>
                <c:ptCount val="7"/>
                <c:pt idx="0" formatCode="&quot;$&quot;#,##0_);[Red]\(&quot;$&quot;#,##0\)">
                  <c:v>130320072</c:v>
                </c:pt>
                <c:pt idx="1">
                  <c:v>5500</c:v>
                </c:pt>
                <c:pt idx="2">
                  <c:v>2449923</c:v>
                </c:pt>
                <c:pt idx="3">
                  <c:v>11565808</c:v>
                </c:pt>
                <c:pt idx="4">
                  <c:v>1422963</c:v>
                </c:pt>
                <c:pt idx="5">
                  <c:v>1363086</c:v>
                </c:pt>
                <c:pt idx="6">
                  <c:v>598474</c:v>
                </c:pt>
              </c:numCache>
            </c:numRef>
          </c:val>
        </c:ser>
        <c:ser>
          <c:idx val="1"/>
          <c:order val="1"/>
          <c:tx>
            <c:strRef>
              <c:f>'2011 Q3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GF'!$H$17:$H$23</c:f>
              <c:numCache>
                <c:formatCode>"$"#,##0_);[Red]\("$"#,##0\)</c:formatCode>
                <c:ptCount val="7"/>
                <c:pt idx="0">
                  <c:v>543418</c:v>
                </c:pt>
                <c:pt idx="1">
                  <c:v>0</c:v>
                </c:pt>
                <c:pt idx="2" formatCode="#,##0_);[Red]\(#,##0\)">
                  <c:v>862454</c:v>
                </c:pt>
                <c:pt idx="3" formatCode="#,##0_);[Red]\(#,##0\)">
                  <c:v>3639204</c:v>
                </c:pt>
                <c:pt idx="4" formatCode="#,##0_);[Red]\(#,##0\)">
                  <c:v>325037</c:v>
                </c:pt>
                <c:pt idx="5" formatCode="#,##0_);[Red]\(#,##0\)">
                  <c:v>0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867520"/>
        <c:axId val="123869440"/>
      </c:barChart>
      <c:lineChart>
        <c:grouping val="stacked"/>
        <c:varyColors val="0"/>
        <c:ser>
          <c:idx val="2"/>
          <c:order val="2"/>
          <c:tx>
            <c:strRef>
              <c:f>'2011 Q3 GF'!$I$16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GF'!$I$17:$I$23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67520"/>
        <c:axId val="123869440"/>
      </c:lineChart>
      <c:catAx>
        <c:axId val="1238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86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6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86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09739241175"/>
          <c:y val="0.93239547006484913"/>
          <c:w val="0.4798807249685505"/>
          <c:h val="5.91549872421935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Expenditures by Function Area</a:t>
            </a:r>
          </a:p>
        </c:rich>
      </c:tx>
      <c:layout>
        <c:manualLayout>
          <c:xMode val="edge"/>
          <c:yMode val="edge"/>
          <c:x val="0.2369597680886904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GF'!$D$48</c:f>
              <c:strCache>
                <c:ptCount val="1"/>
                <c:pt idx="0">
                  <c:v>YTD Expenditures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Q3 GF'!$D$49:$D$59</c:f>
              <c:numCache>
                <c:formatCode>#,##0_);[Red]\(#,##0\)</c:formatCode>
                <c:ptCount val="11"/>
                <c:pt idx="0" formatCode="&quot;$&quot;#,##0_);[Red]\(&quot;$&quot;#,##0\)">
                  <c:v>213324</c:v>
                </c:pt>
                <c:pt idx="1">
                  <c:v>325973</c:v>
                </c:pt>
                <c:pt idx="2">
                  <c:v>1951047</c:v>
                </c:pt>
                <c:pt idx="3">
                  <c:v>7523615</c:v>
                </c:pt>
                <c:pt idx="4">
                  <c:v>21877963</c:v>
                </c:pt>
                <c:pt idx="5">
                  <c:v>8726451</c:v>
                </c:pt>
                <c:pt idx="6">
                  <c:v>10482485</c:v>
                </c:pt>
                <c:pt idx="7">
                  <c:v>7778427</c:v>
                </c:pt>
                <c:pt idx="8">
                  <c:v>7000135</c:v>
                </c:pt>
                <c:pt idx="9">
                  <c:v>33556214</c:v>
                </c:pt>
                <c:pt idx="10">
                  <c:v>9430590</c:v>
                </c:pt>
              </c:numCache>
            </c:numRef>
          </c:val>
        </c:ser>
        <c:ser>
          <c:idx val="1"/>
          <c:order val="1"/>
          <c:tx>
            <c:strRef>
              <c:f>'2011 Q3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Q3 GF'!$H$49:$H$59</c:f>
              <c:numCache>
                <c:formatCode>#,##0</c:formatCode>
                <c:ptCount val="11"/>
                <c:pt idx="0" formatCode="&quot;$&quot;#,##0_);[Red]\(&quot;$&quot;#,##0\)">
                  <c:v>102071</c:v>
                </c:pt>
                <c:pt idx="1">
                  <c:v>50397</c:v>
                </c:pt>
                <c:pt idx="2">
                  <c:v>941054</c:v>
                </c:pt>
                <c:pt idx="3">
                  <c:v>3062706</c:v>
                </c:pt>
                <c:pt idx="4">
                  <c:v>14716236</c:v>
                </c:pt>
                <c:pt idx="5">
                  <c:v>3624370</c:v>
                </c:pt>
                <c:pt idx="6">
                  <c:v>4106902</c:v>
                </c:pt>
                <c:pt idx="7">
                  <c:v>3117143</c:v>
                </c:pt>
                <c:pt idx="8">
                  <c:v>3217981</c:v>
                </c:pt>
                <c:pt idx="9">
                  <c:v>11949129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990016"/>
        <c:axId val="123991936"/>
      </c:barChart>
      <c:lineChart>
        <c:grouping val="stacked"/>
        <c:varyColors val="0"/>
        <c:ser>
          <c:idx val="2"/>
          <c:order val="2"/>
          <c:tx>
            <c:strRef>
              <c:f>'2011 Q3 GF'!$G$48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GF'!$I$49:$I$59</c:f>
              <c:numCache>
                <c:formatCode>0%</c:formatCode>
                <c:ptCount val="11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90016"/>
        <c:axId val="123991936"/>
      </c:lineChart>
      <c:catAx>
        <c:axId val="123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9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99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3990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1710737647"/>
          <c:y val="0.92548082937294307"/>
          <c:w val="0.53502236847259765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64224"/>
        <c:axId val="124093568"/>
      </c:barChart>
      <c:catAx>
        <c:axId val="124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0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09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96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23776"/>
        <c:axId val="125239680"/>
      </c:barChart>
      <c:catAx>
        <c:axId val="1241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3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23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23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73984"/>
        <c:axId val="125275520"/>
      </c:barChart>
      <c:catAx>
        <c:axId val="1252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75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27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73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14176"/>
        <c:axId val="125315712"/>
      </c:barChart>
      <c:catAx>
        <c:axId val="1253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1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31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1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3rd Quarter of Fiscal Year</a:t>
            </a:r>
          </a:p>
        </c:rich>
      </c:tx>
      <c:layout>
        <c:manualLayout>
          <c:xMode val="edge"/>
          <c:yMode val="edge"/>
          <c:x val="0.33284048692726464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GF'!$M$16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GF'!$M$17:$M$23</c:f>
              <c:numCache>
                <c:formatCode>0.00%</c:formatCode>
                <c:ptCount val="7"/>
                <c:pt idx="0">
                  <c:v>0.99584744377518897</c:v>
                </c:pt>
                <c:pt idx="1">
                  <c:v>1.375</c:v>
                </c:pt>
                <c:pt idx="2">
                  <c:v>0.73962686010680545</c:v>
                </c:pt>
                <c:pt idx="3">
                  <c:v>0.76065760421629391</c:v>
                </c:pt>
                <c:pt idx="4">
                  <c:v>0.81405205949656756</c:v>
                </c:pt>
                <c:pt idx="5">
                  <c:v>1.2174758842443729</c:v>
                </c:pt>
                <c:pt idx="6">
                  <c:v>1.2902595722662986</c:v>
                </c:pt>
              </c:numCache>
            </c:numRef>
          </c:val>
        </c:ser>
        <c:ser>
          <c:idx val="0"/>
          <c:order val="1"/>
          <c:tx>
            <c:strRef>
              <c:f>'2011 Q3 GF'!$Q$16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Q3 GF'!$Q$17:$Q$23</c:f>
              <c:numCache>
                <c:formatCode>0.00%</c:formatCode>
                <c:ptCount val="7"/>
                <c:pt idx="0">
                  <c:v>0.99367755149214021</c:v>
                </c:pt>
                <c:pt idx="1">
                  <c:v>1</c:v>
                </c:pt>
                <c:pt idx="2">
                  <c:v>0.60212515983714143</c:v>
                </c:pt>
                <c:pt idx="3">
                  <c:v>0.73913405491261974</c:v>
                </c:pt>
                <c:pt idx="4">
                  <c:v>0.72115154346726862</c:v>
                </c:pt>
                <c:pt idx="5">
                  <c:v>0.69082899805454123</c:v>
                </c:pt>
                <c:pt idx="6">
                  <c:v>0.63968330775844373</c:v>
                </c:pt>
              </c:numCache>
            </c:numRef>
          </c:val>
        </c:ser>
        <c:ser>
          <c:idx val="1"/>
          <c:order val="2"/>
          <c:tx>
            <c:strRef>
              <c:f>'2011 Q3 GF'!$U$16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GF'!$U$17:$U$23</c:f>
              <c:numCache>
                <c:formatCode>0.00%</c:formatCode>
                <c:ptCount val="7"/>
                <c:pt idx="0">
                  <c:v>0.9879313548553007</c:v>
                </c:pt>
                <c:pt idx="1">
                  <c:v>0.875</c:v>
                </c:pt>
                <c:pt idx="2">
                  <c:v>0.55877596607035307</c:v>
                </c:pt>
                <c:pt idx="3">
                  <c:v>0.72013515453758148</c:v>
                </c:pt>
                <c:pt idx="4">
                  <c:v>0.75389423662365773</c:v>
                </c:pt>
                <c:pt idx="5">
                  <c:v>0.82313838746243673</c:v>
                </c:pt>
                <c:pt idx="6">
                  <c:v>0.53794384735189016</c:v>
                </c:pt>
              </c:numCache>
            </c:numRef>
          </c:val>
        </c:ser>
        <c:ser>
          <c:idx val="2"/>
          <c:order val="3"/>
          <c:tx>
            <c:strRef>
              <c:f>'2011 Q3 GF'!$Y$16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GF'!$Y$17:$Y$23</c:f>
              <c:numCache>
                <c:formatCode>0.00%</c:formatCode>
                <c:ptCount val="7"/>
                <c:pt idx="0">
                  <c:v>0.98536952165520142</c:v>
                </c:pt>
                <c:pt idx="1">
                  <c:v>0.75</c:v>
                </c:pt>
                <c:pt idx="2">
                  <c:v>0.58252808987338101</c:v>
                </c:pt>
                <c:pt idx="3">
                  <c:v>0.73598131714356796</c:v>
                </c:pt>
                <c:pt idx="4">
                  <c:v>0.77442373386525298</c:v>
                </c:pt>
                <c:pt idx="5">
                  <c:v>0.73468925167453281</c:v>
                </c:pt>
                <c:pt idx="6">
                  <c:v>0.18948385555925618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63328"/>
        <c:axId val="125364864"/>
      </c:barChart>
      <c:catAx>
        <c:axId val="1253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36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3648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363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2885815091"/>
          <c:y val="0.9152569395874226"/>
          <c:w val="0.24116887466218062"/>
          <c:h val="5.77054802247140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/>
              <a:t>% of General Fund Expenditures 
Spent thru 4th Quarter of Fiscal Year</a:t>
            </a:r>
          </a:p>
        </c:rich>
      </c:tx>
      <c:layout>
        <c:manualLayout>
          <c:xMode val="edge"/>
          <c:yMode val="edge"/>
          <c:x val="0.24970875628498246"/>
          <c:y val="5.6497353085101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GF'!$M$48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GF'!$M$49:$M$59</c:f>
              <c:numCache>
                <c:formatCode>0.00%</c:formatCode>
                <c:ptCount val="11"/>
                <c:pt idx="0">
                  <c:v>0.88851046665169886</c:v>
                </c:pt>
                <c:pt idx="1">
                  <c:v>0.94680626800646472</c:v>
                </c:pt>
                <c:pt idx="2">
                  <c:v>0.78684031262093579</c:v>
                </c:pt>
                <c:pt idx="3">
                  <c:v>0.9063457078264533</c:v>
                </c:pt>
                <c:pt idx="4">
                  <c:v>0.72798191370881926</c:v>
                </c:pt>
                <c:pt idx="5">
                  <c:v>0.95500357009981496</c:v>
                </c:pt>
                <c:pt idx="6">
                  <c:v>0.91374136977671072</c:v>
                </c:pt>
                <c:pt idx="7">
                  <c:v>0.91714719651277765</c:v>
                </c:pt>
                <c:pt idx="8">
                  <c:v>0.91165951614332996</c:v>
                </c:pt>
                <c:pt idx="9">
                  <c:v>0.9326899154820617</c:v>
                </c:pt>
                <c:pt idx="10">
                  <c:v>4.3729363636363638</c:v>
                </c:pt>
              </c:numCache>
            </c:numRef>
          </c:val>
        </c:ser>
        <c:ser>
          <c:idx val="4"/>
          <c:order val="1"/>
          <c:tx>
            <c:strRef>
              <c:f>'2013 Q4 GF'!$P$48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GF'!$P$49:$P$59</c:f>
              <c:numCache>
                <c:formatCode>0.00%</c:formatCode>
                <c:ptCount val="11"/>
                <c:pt idx="0">
                  <c:v>0.69994774215363809</c:v>
                </c:pt>
                <c:pt idx="1">
                  <c:v>0.86576507160506944</c:v>
                </c:pt>
                <c:pt idx="2">
                  <c:v>0.56812063348740993</c:v>
                </c:pt>
                <c:pt idx="3">
                  <c:v>0.7182275958060278</c:v>
                </c:pt>
                <c:pt idx="4">
                  <c:v>0.59484177482793543</c:v>
                </c:pt>
                <c:pt idx="5">
                  <c:v>0.70970606608715536</c:v>
                </c:pt>
                <c:pt idx="6">
                  <c:v>0.71757379001811272</c:v>
                </c:pt>
                <c:pt idx="7">
                  <c:v>0.7055953167928285</c:v>
                </c:pt>
                <c:pt idx="8">
                  <c:v>0.72489608501156377</c:v>
                </c:pt>
                <c:pt idx="9">
                  <c:v>0.72933568467827314</c:v>
                </c:pt>
                <c:pt idx="10">
                  <c:v>1</c:v>
                </c:pt>
              </c:numCache>
            </c:numRef>
          </c:val>
        </c:ser>
        <c:ser>
          <c:idx val="3"/>
          <c:order val="2"/>
          <c:tx>
            <c:strRef>
              <c:f>'2013 Q4 GF'!$T$48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GF'!$T$49:$T$59</c:f>
              <c:numCache>
                <c:formatCode>0.00%</c:formatCode>
                <c:ptCount val="11"/>
                <c:pt idx="0">
                  <c:v>0.6763708999825615</c:v>
                </c:pt>
                <c:pt idx="1">
                  <c:v>0.86609719159337883</c:v>
                </c:pt>
                <c:pt idx="2">
                  <c:v>0.67461233200361947</c:v>
                </c:pt>
                <c:pt idx="3">
                  <c:v>0.71069212807735571</c:v>
                </c:pt>
                <c:pt idx="4">
                  <c:v>0.59785331002872888</c:v>
                </c:pt>
                <c:pt idx="5">
                  <c:v>0.70654825294609969</c:v>
                </c:pt>
                <c:pt idx="6">
                  <c:v>0.71850071562293882</c:v>
                </c:pt>
                <c:pt idx="7">
                  <c:v>0.71390730361054999</c:v>
                </c:pt>
                <c:pt idx="8">
                  <c:v>0.68507100526163534</c:v>
                </c:pt>
                <c:pt idx="9">
                  <c:v>0.73741261548121939</c:v>
                </c:pt>
                <c:pt idx="10">
                  <c:v>1.0080801710315339</c:v>
                </c:pt>
              </c:numCache>
            </c:numRef>
          </c:val>
        </c:ser>
        <c:ser>
          <c:idx val="0"/>
          <c:order val="3"/>
          <c:tx>
            <c:strRef>
              <c:f>'2013 Q4 GF'!$X$48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'2013 Q4 GF'!$X$49:$X$59</c:f>
              <c:numCache>
                <c:formatCode>0.00%</c:formatCode>
                <c:ptCount val="11"/>
                <c:pt idx="0">
                  <c:v>0.66238422987411405</c:v>
                </c:pt>
                <c:pt idx="1">
                  <c:v>0.9313848603447018</c:v>
                </c:pt>
                <c:pt idx="2">
                  <c:v>0.67226535749109961</c:v>
                </c:pt>
                <c:pt idx="3">
                  <c:v>0.7212154428761387</c:v>
                </c:pt>
                <c:pt idx="4">
                  <c:v>0.54132573539292361</c:v>
                </c:pt>
                <c:pt idx="5">
                  <c:v>0.68322457595931541</c:v>
                </c:pt>
                <c:pt idx="6">
                  <c:v>0.69700261521477758</c:v>
                </c:pt>
                <c:pt idx="7">
                  <c:v>0.72550097732638053</c:v>
                </c:pt>
                <c:pt idx="8">
                  <c:v>0.63646673371014217</c:v>
                </c:pt>
                <c:pt idx="9">
                  <c:v>0.7376123704806351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4"/>
          <c:tx>
            <c:strRef>
              <c:f>'2013 Q4 GF'!$AB$48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GF'!$AB$49:$AB$59</c:f>
              <c:numCache>
                <c:formatCode>0.00%</c:formatCode>
                <c:ptCount val="11"/>
                <c:pt idx="0">
                  <c:v>0.61271828215673207</c:v>
                </c:pt>
                <c:pt idx="1">
                  <c:v>0.90166265650410482</c:v>
                </c:pt>
                <c:pt idx="2">
                  <c:v>0.63368762741586138</c:v>
                </c:pt>
                <c:pt idx="3">
                  <c:v>0.66761999220812263</c:v>
                </c:pt>
                <c:pt idx="4">
                  <c:v>0.5365988399968783</c:v>
                </c:pt>
                <c:pt idx="5">
                  <c:v>0.72889778142636663</c:v>
                </c:pt>
                <c:pt idx="6">
                  <c:v>0.67309601892566395</c:v>
                </c:pt>
                <c:pt idx="7">
                  <c:v>0.68989667275131938</c:v>
                </c:pt>
                <c:pt idx="8">
                  <c:v>0.64391599774835673</c:v>
                </c:pt>
                <c:pt idx="9">
                  <c:v>0.71761090730877197</c:v>
                </c:pt>
                <c:pt idx="10">
                  <c:v>1.0062660043625347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4304"/>
        <c:axId val="36435840"/>
      </c:barChart>
      <c:catAx>
        <c:axId val="364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en-US"/>
          </a:p>
        </c:txPr>
        <c:crossAx val="364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3584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43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31632039970906"/>
          <c:y val="0.93775542875496198"/>
          <c:w val="0.45054916807965378"/>
          <c:h val="4.908246889788871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3rd Quarter of Fiscal Year</a:t>
            </a:r>
          </a:p>
        </c:rich>
      </c:tx>
      <c:layout>
        <c:manualLayout>
          <c:xMode val="edge"/>
          <c:yMode val="edge"/>
          <c:x val="0.3338367967161999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GF'!$M$48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GF'!$M$49:$M$59</c:f>
              <c:numCache>
                <c:formatCode>0.00%</c:formatCode>
                <c:ptCount val="11"/>
                <c:pt idx="0">
                  <c:v>0.6763708999825615</c:v>
                </c:pt>
                <c:pt idx="1">
                  <c:v>0.86609719159337883</c:v>
                </c:pt>
                <c:pt idx="2">
                  <c:v>0.67461233200361947</c:v>
                </c:pt>
                <c:pt idx="3">
                  <c:v>0.71069212807735571</c:v>
                </c:pt>
                <c:pt idx="4">
                  <c:v>0.59785331002872888</c:v>
                </c:pt>
                <c:pt idx="5">
                  <c:v>0.70654825294609969</c:v>
                </c:pt>
                <c:pt idx="6">
                  <c:v>0.71850071562293882</c:v>
                </c:pt>
                <c:pt idx="7">
                  <c:v>0.71390730361054999</c:v>
                </c:pt>
                <c:pt idx="8">
                  <c:v>0.68507100526163534</c:v>
                </c:pt>
                <c:pt idx="9">
                  <c:v>0.73741261548121939</c:v>
                </c:pt>
                <c:pt idx="10">
                  <c:v>1.0080801710315339</c:v>
                </c:pt>
              </c:numCache>
            </c:numRef>
          </c:val>
        </c:ser>
        <c:ser>
          <c:idx val="0"/>
          <c:order val="1"/>
          <c:tx>
            <c:strRef>
              <c:f>'2011 Q3 GF'!$Q$48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Q3 GF'!$Q$49:$Q$59</c:f>
              <c:numCache>
                <c:formatCode>0.00%</c:formatCode>
                <c:ptCount val="11"/>
                <c:pt idx="0">
                  <c:v>0.66238422987411405</c:v>
                </c:pt>
                <c:pt idx="1">
                  <c:v>0.9313848603447018</c:v>
                </c:pt>
                <c:pt idx="2">
                  <c:v>0.67226535749109961</c:v>
                </c:pt>
                <c:pt idx="3">
                  <c:v>0.7212154428761387</c:v>
                </c:pt>
                <c:pt idx="4">
                  <c:v>0.54132573539292361</c:v>
                </c:pt>
                <c:pt idx="5">
                  <c:v>0.68322457595931541</c:v>
                </c:pt>
                <c:pt idx="6">
                  <c:v>0.69700261521477758</c:v>
                </c:pt>
                <c:pt idx="7">
                  <c:v>0.72550097732638053</c:v>
                </c:pt>
                <c:pt idx="8">
                  <c:v>0.63646673371014217</c:v>
                </c:pt>
                <c:pt idx="9">
                  <c:v>0.7376123704806351</c:v>
                </c:pt>
                <c:pt idx="10">
                  <c:v>1.005973715651135</c:v>
                </c:pt>
              </c:numCache>
            </c:numRef>
          </c:val>
        </c:ser>
        <c:ser>
          <c:idx val="1"/>
          <c:order val="2"/>
          <c:tx>
            <c:strRef>
              <c:f>'2011 Q3 GF'!$U$48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GF'!$U$49:$U$59</c:f>
              <c:numCache>
                <c:formatCode>0.00%</c:formatCode>
                <c:ptCount val="11"/>
                <c:pt idx="0">
                  <c:v>0.61271828215673207</c:v>
                </c:pt>
                <c:pt idx="1">
                  <c:v>0.90166265650410482</c:v>
                </c:pt>
                <c:pt idx="2">
                  <c:v>0.63368762741586138</c:v>
                </c:pt>
                <c:pt idx="3">
                  <c:v>0.66761999220812263</c:v>
                </c:pt>
                <c:pt idx="4">
                  <c:v>0.5365988399968783</c:v>
                </c:pt>
                <c:pt idx="5">
                  <c:v>0.72889778142636663</c:v>
                </c:pt>
                <c:pt idx="6">
                  <c:v>0.67309601892566395</c:v>
                </c:pt>
                <c:pt idx="7">
                  <c:v>0.68989667275131938</c:v>
                </c:pt>
                <c:pt idx="8">
                  <c:v>0.64391599774835673</c:v>
                </c:pt>
                <c:pt idx="9">
                  <c:v>0.71761090730877197</c:v>
                </c:pt>
                <c:pt idx="10">
                  <c:v>1.0062660043625347</c:v>
                </c:pt>
              </c:numCache>
            </c:numRef>
          </c:val>
        </c:ser>
        <c:ser>
          <c:idx val="2"/>
          <c:order val="3"/>
          <c:tx>
            <c:strRef>
              <c:f>'2011 Q3 GF'!$AA$48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GF'!$AA$49:$AA$59</c:f>
              <c:numCache>
                <c:formatCode>0.00%</c:formatCode>
                <c:ptCount val="11"/>
                <c:pt idx="0">
                  <c:v>0.61234942159501227</c:v>
                </c:pt>
                <c:pt idx="1">
                  <c:v>0.89230821279087436</c:v>
                </c:pt>
                <c:pt idx="2">
                  <c:v>0.84473176996114518</c:v>
                </c:pt>
                <c:pt idx="3">
                  <c:v>0.68193609411367384</c:v>
                </c:pt>
                <c:pt idx="4">
                  <c:v>0.48836799511245282</c:v>
                </c:pt>
                <c:pt idx="5">
                  <c:v>0.73526126266166181</c:v>
                </c:pt>
                <c:pt idx="6">
                  <c:v>0.70045682851457924</c:v>
                </c:pt>
                <c:pt idx="7">
                  <c:v>0.69898821399954358</c:v>
                </c:pt>
                <c:pt idx="8">
                  <c:v>0.67309544489715079</c:v>
                </c:pt>
                <c:pt idx="9">
                  <c:v>0.71489347082068921</c:v>
                </c:pt>
                <c:pt idx="10">
                  <c:v>0.89383457429893021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15168"/>
        <c:axId val="125016704"/>
      </c:barChart>
      <c:catAx>
        <c:axId val="1250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01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167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01516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76869339"/>
          <c:y val="0.93287255759696708"/>
          <c:w val="0.24044489175695144"/>
          <c:h val="4.65990516617521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Revenue by Source</a:t>
            </a:r>
          </a:p>
        </c:rich>
      </c:tx>
      <c:layout>
        <c:manualLayout>
          <c:xMode val="edge"/>
          <c:yMode val="edge"/>
          <c:x val="0.2906109739241175"/>
          <c:y val="1.4084618252801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GF'!$D$16</c:f>
              <c:strCache>
                <c:ptCount val="1"/>
                <c:pt idx="0">
                  <c:v>YTD Collections as of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GF'!$D$17:$D$23</c:f>
              <c:numCache>
                <c:formatCode>#,##0_);[Red]\(#,##0\)</c:formatCode>
                <c:ptCount val="7"/>
                <c:pt idx="0" formatCode="&quot;$&quot;#,##0_);[Red]\(&quot;$&quot;#,##0\)">
                  <c:v>127900195</c:v>
                </c:pt>
                <c:pt idx="1">
                  <c:v>3500</c:v>
                </c:pt>
                <c:pt idx="2">
                  <c:v>1320347</c:v>
                </c:pt>
                <c:pt idx="3">
                  <c:v>8242187</c:v>
                </c:pt>
                <c:pt idx="4">
                  <c:v>961337</c:v>
                </c:pt>
                <c:pt idx="5">
                  <c:v>699281</c:v>
                </c:pt>
                <c:pt idx="6">
                  <c:v>461974</c:v>
                </c:pt>
              </c:numCache>
            </c:numRef>
          </c:val>
        </c:ser>
        <c:ser>
          <c:idx val="1"/>
          <c:order val="1"/>
          <c:tx>
            <c:strRef>
              <c:f>'2011 Q2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GF'!$H$17:$H$23</c:f>
              <c:numCache>
                <c:formatCode>"$"#,##0_);[Red]\("$"#,##0\)</c:formatCode>
                <c:ptCount val="7"/>
                <c:pt idx="0">
                  <c:v>2963295</c:v>
                </c:pt>
                <c:pt idx="1">
                  <c:v>500</c:v>
                </c:pt>
                <c:pt idx="2" formatCode="#,##0_);[Red]\(#,##0\)">
                  <c:v>1992030</c:v>
                </c:pt>
                <c:pt idx="3" formatCode="#,##0_);[Red]\(#,##0\)">
                  <c:v>6962825</c:v>
                </c:pt>
                <c:pt idx="4" formatCode="#,##0_);[Red]\(#,##0\)">
                  <c:v>786663</c:v>
                </c:pt>
                <c:pt idx="5" formatCode="#,##0_);[Red]\(#,##0\)">
                  <c:v>420319</c:v>
                </c:pt>
                <c:pt idx="6" formatCode="#,##0_);[Red]\(#,##0\)">
                  <c:v>1866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201216"/>
        <c:axId val="122203136"/>
      </c:barChart>
      <c:lineChart>
        <c:grouping val="stacked"/>
        <c:varyColors val="0"/>
        <c:ser>
          <c:idx val="2"/>
          <c:order val="2"/>
          <c:tx>
            <c:strRef>
              <c:f>'2011 Q2 GF'!$I$16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GF'!$I$17:$I$23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01216"/>
        <c:axId val="122203136"/>
      </c:lineChart>
      <c:catAx>
        <c:axId val="1222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20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0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20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09739241175"/>
          <c:y val="0.93239547006484913"/>
          <c:w val="0.4798807249685505"/>
          <c:h val="5.91549872421935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Expenditures by Function Area</a:t>
            </a:r>
          </a:p>
        </c:rich>
      </c:tx>
      <c:layout>
        <c:manualLayout>
          <c:xMode val="edge"/>
          <c:yMode val="edge"/>
          <c:x val="0.2369597680886904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92"/>
          <c:w val="0.87779433681073071"/>
          <c:h val="0.536057692307692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GF'!$D$48</c:f>
              <c:strCache>
                <c:ptCount val="1"/>
                <c:pt idx="0">
                  <c:v>YTD Expenditures as of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Q2 GF'!$D$49:$D$59</c:f>
              <c:numCache>
                <c:formatCode>#,##0_);[Red]\(#,##0\)</c:formatCode>
                <c:ptCount val="11"/>
                <c:pt idx="0" formatCode="&quot;$&quot;#,##0_);[Red]\(&quot;$&quot;#,##0\)">
                  <c:v>139650</c:v>
                </c:pt>
                <c:pt idx="1">
                  <c:v>236962</c:v>
                </c:pt>
                <c:pt idx="2">
                  <c:v>991365</c:v>
                </c:pt>
                <c:pt idx="3">
                  <c:v>5265073</c:v>
                </c:pt>
                <c:pt idx="4">
                  <c:v>14902536</c:v>
                </c:pt>
                <c:pt idx="5">
                  <c:v>5621707</c:v>
                </c:pt>
                <c:pt idx="6">
                  <c:v>7281236</c:v>
                </c:pt>
                <c:pt idx="7">
                  <c:v>5400688</c:v>
                </c:pt>
                <c:pt idx="8">
                  <c:v>4631802</c:v>
                </c:pt>
                <c:pt idx="9">
                  <c:v>23617795</c:v>
                </c:pt>
                <c:pt idx="10">
                  <c:v>9355000</c:v>
                </c:pt>
              </c:numCache>
            </c:numRef>
          </c:val>
        </c:ser>
        <c:ser>
          <c:idx val="1"/>
          <c:order val="1"/>
          <c:tx>
            <c:strRef>
              <c:f>'2011 Q2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Q2 GF'!$H$49:$H$59</c:f>
              <c:numCache>
                <c:formatCode>#,##0</c:formatCode>
                <c:ptCount val="11"/>
                <c:pt idx="0" formatCode="&quot;$&quot;#,##0_);[Red]\(&quot;$&quot;#,##0\)">
                  <c:v>175745</c:v>
                </c:pt>
                <c:pt idx="1">
                  <c:v>139408</c:v>
                </c:pt>
                <c:pt idx="2">
                  <c:v>1900736</c:v>
                </c:pt>
                <c:pt idx="3">
                  <c:v>5321248</c:v>
                </c:pt>
                <c:pt idx="4">
                  <c:v>21691663</c:v>
                </c:pt>
                <c:pt idx="5">
                  <c:v>6729114</c:v>
                </c:pt>
                <c:pt idx="6">
                  <c:v>7308151</c:v>
                </c:pt>
                <c:pt idx="7">
                  <c:v>5494882</c:v>
                </c:pt>
                <c:pt idx="8">
                  <c:v>5586314</c:v>
                </c:pt>
                <c:pt idx="9">
                  <c:v>21887548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69024"/>
        <c:axId val="124770944"/>
      </c:barChart>
      <c:lineChart>
        <c:grouping val="stacked"/>
        <c:varyColors val="0"/>
        <c:ser>
          <c:idx val="2"/>
          <c:order val="2"/>
          <c:tx>
            <c:strRef>
              <c:f>'2011 Q2 GF'!$G$48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GF'!$I$49:$I$59</c:f>
              <c:numCache>
                <c:formatCode>0%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69024"/>
        <c:axId val="124770944"/>
      </c:lineChart>
      <c:catAx>
        <c:axId val="1247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77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7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4769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1710737647"/>
          <c:y val="0.92548082937294307"/>
          <c:w val="0.53502236847259765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82208"/>
        <c:axId val="123983744"/>
      </c:barChart>
      <c:catAx>
        <c:axId val="1239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8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98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82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38944"/>
        <c:axId val="125699200"/>
      </c:barChart>
      <c:catAx>
        <c:axId val="1247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6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9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73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29408"/>
        <c:axId val="125731200"/>
      </c:barChart>
      <c:catAx>
        <c:axId val="1257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73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29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69600"/>
        <c:axId val="125771136"/>
      </c:barChart>
      <c:catAx>
        <c:axId val="1257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7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7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6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thru 2nd Quarter of Fiscal Year</a:t>
            </a:r>
          </a:p>
        </c:rich>
      </c:tx>
      <c:layout>
        <c:manualLayout>
          <c:xMode val="edge"/>
          <c:yMode val="edge"/>
          <c:x val="0.33284048692726464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GF'!$M$16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GF'!$M$17:$M$23</c:f>
              <c:numCache>
                <c:formatCode>0.00%</c:formatCode>
                <c:ptCount val="7"/>
                <c:pt idx="0">
                  <c:v>0.9773558308738366</c:v>
                </c:pt>
                <c:pt idx="1">
                  <c:v>0.875</c:v>
                </c:pt>
                <c:pt idx="2">
                  <c:v>0.39861012197585</c:v>
                </c:pt>
                <c:pt idx="3">
                  <c:v>0.54207040415357777</c:v>
                </c:pt>
                <c:pt idx="4">
                  <c:v>0.54996395881006865</c:v>
                </c:pt>
                <c:pt idx="5">
                  <c:v>0.62458110039299752</c:v>
                </c:pt>
                <c:pt idx="6">
                  <c:v>0.99597706105553641</c:v>
                </c:pt>
              </c:numCache>
            </c:numRef>
          </c:val>
        </c:ser>
        <c:ser>
          <c:idx val="0"/>
          <c:order val="1"/>
          <c:tx>
            <c:strRef>
              <c:f>'2011 Q2 GF'!$Q$16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Q2 GF'!$Q$17:$Q$23</c:f>
              <c:numCache>
                <c:formatCode>0.00%</c:formatCode>
                <c:ptCount val="7"/>
                <c:pt idx="0">
                  <c:v>0.96552023662277808</c:v>
                </c:pt>
                <c:pt idx="1">
                  <c:v>0.6</c:v>
                </c:pt>
                <c:pt idx="2">
                  <c:v>0.23640947064804205</c:v>
                </c:pt>
                <c:pt idx="3">
                  <c:v>0.4127366887775723</c:v>
                </c:pt>
                <c:pt idx="4">
                  <c:v>0.38394418515787687</c:v>
                </c:pt>
                <c:pt idx="5">
                  <c:v>0.20734824167478225</c:v>
                </c:pt>
                <c:pt idx="6">
                  <c:v>0.46359110943408344</c:v>
                </c:pt>
              </c:numCache>
            </c:numRef>
          </c:val>
        </c:ser>
        <c:ser>
          <c:idx val="1"/>
          <c:order val="2"/>
          <c:tx>
            <c:strRef>
              <c:f>'2011 Q2 GF'!$U$16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GF'!$U$17:$U$23</c:f>
              <c:numCache>
                <c:formatCode>0.00%</c:formatCode>
                <c:ptCount val="7"/>
                <c:pt idx="0">
                  <c:v>0.96508100339299774</c:v>
                </c:pt>
                <c:pt idx="1">
                  <c:v>0.625</c:v>
                </c:pt>
                <c:pt idx="2">
                  <c:v>0.28006855686257059</c:v>
                </c:pt>
                <c:pt idx="3">
                  <c:v>0.49339863522074084</c:v>
                </c:pt>
                <c:pt idx="4">
                  <c:v>0.47203735511189665</c:v>
                </c:pt>
                <c:pt idx="5">
                  <c:v>0.54320731512195508</c:v>
                </c:pt>
                <c:pt idx="6">
                  <c:v>0.40794160398792134</c:v>
                </c:pt>
              </c:numCache>
            </c:numRef>
          </c:val>
        </c:ser>
        <c:ser>
          <c:idx val="2"/>
          <c:order val="3"/>
          <c:tx>
            <c:strRef>
              <c:f>'2011 Q2 GF'!$Y$16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GF'!$Y$17:$Y$23</c:f>
              <c:numCache>
                <c:formatCode>0.00%</c:formatCode>
                <c:ptCount val="7"/>
                <c:pt idx="0">
                  <c:v>0.95840007492527557</c:v>
                </c:pt>
                <c:pt idx="1">
                  <c:v>0.625</c:v>
                </c:pt>
                <c:pt idx="2">
                  <c:v>0.30948246777645028</c:v>
                </c:pt>
                <c:pt idx="3">
                  <c:v>0.53031597621771898</c:v>
                </c:pt>
                <c:pt idx="4">
                  <c:v>0.45965490035859352</c:v>
                </c:pt>
                <c:pt idx="5">
                  <c:v>0.48945509689581823</c:v>
                </c:pt>
                <c:pt idx="6">
                  <c:v>0.12322711300033963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18752"/>
        <c:axId val="125820288"/>
      </c:barChart>
      <c:catAx>
        <c:axId val="1258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82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2028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818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2885815091"/>
          <c:y val="0.9152569395874226"/>
          <c:w val="0.24116887466218062"/>
          <c:h val="5.77054802247140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thru 2nd Quarter of Fiscal Year</a:t>
            </a:r>
          </a:p>
        </c:rich>
      </c:tx>
      <c:layout>
        <c:manualLayout>
          <c:xMode val="edge"/>
          <c:yMode val="edge"/>
          <c:x val="0.33383679671619998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38900505688720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GF'!$M$48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GF'!$M$49:$M$59</c:f>
              <c:numCache>
                <c:formatCode>0.00%</c:formatCode>
                <c:ptCount val="11"/>
                <c:pt idx="0">
                  <c:v>0.44277810364780673</c:v>
                </c:pt>
                <c:pt idx="1">
                  <c:v>0.62959853335813165</c:v>
                </c:pt>
                <c:pt idx="2">
                  <c:v>0.34278367180122687</c:v>
                </c:pt>
                <c:pt idx="3">
                  <c:v>0.49734681198501351</c:v>
                </c:pt>
                <c:pt idx="4">
                  <c:v>0.40723766081066565</c:v>
                </c:pt>
                <c:pt idx="5">
                  <c:v>0.45516868878595196</c:v>
                </c:pt>
                <c:pt idx="6">
                  <c:v>0.49907758290324328</c:v>
                </c:pt>
                <c:pt idx="7">
                  <c:v>0.49567741751923028</c:v>
                </c:pt>
                <c:pt idx="8">
                  <c:v>0.45329315110535051</c:v>
                </c:pt>
                <c:pt idx="9">
                  <c:v>0.51901147080684573</c:v>
                </c:pt>
                <c:pt idx="10">
                  <c:v>1</c:v>
                </c:pt>
              </c:numCache>
            </c:numRef>
          </c:val>
        </c:ser>
        <c:ser>
          <c:idx val="0"/>
          <c:order val="1"/>
          <c:tx>
            <c:strRef>
              <c:f>'2011 Q2 GF'!$Q$48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Q2 GF'!$Q$49:$Q$59</c:f>
              <c:numCache>
                <c:formatCode>0.00%</c:formatCode>
                <c:ptCount val="11"/>
                <c:pt idx="0">
                  <c:v>0.45288076536549243</c:v>
                </c:pt>
                <c:pt idx="1">
                  <c:v>0.70257828718671755</c:v>
                </c:pt>
                <c:pt idx="2">
                  <c:v>0.46632627570766755</c:v>
                </c:pt>
                <c:pt idx="3">
                  <c:v>0.50055874165301606</c:v>
                </c:pt>
                <c:pt idx="4">
                  <c:v>0.30703025566487518</c:v>
                </c:pt>
                <c:pt idx="5">
                  <c:v>0.47104140613809481</c:v>
                </c:pt>
                <c:pt idx="6">
                  <c:v>0.48232309213281943</c:v>
                </c:pt>
                <c:pt idx="7">
                  <c:v>0.49728388549667696</c:v>
                </c:pt>
                <c:pt idx="8">
                  <c:v>0.42348308385888445</c:v>
                </c:pt>
                <c:pt idx="9">
                  <c:v>0.51110765247097412</c:v>
                </c:pt>
                <c:pt idx="10">
                  <c:v>0.93070489844683391</c:v>
                </c:pt>
              </c:numCache>
            </c:numRef>
          </c:val>
        </c:ser>
        <c:ser>
          <c:idx val="1"/>
          <c:order val="2"/>
          <c:tx>
            <c:strRef>
              <c:f>'2011 Q2 GF'!$U$48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GF'!$U$49:$U$59</c:f>
              <c:numCache>
                <c:formatCode>0.00%</c:formatCode>
                <c:ptCount val="11"/>
                <c:pt idx="0">
                  <c:v>0.41803159999349798</c:v>
                </c:pt>
                <c:pt idx="1">
                  <c:v>0.65922156474714422</c:v>
                </c:pt>
                <c:pt idx="2">
                  <c:v>0.45154482999960427</c:v>
                </c:pt>
                <c:pt idx="3">
                  <c:v>0.47209942776737962</c:v>
                </c:pt>
                <c:pt idx="4">
                  <c:v>0.37012481344995768</c:v>
                </c:pt>
                <c:pt idx="5">
                  <c:v>0.52132897783042376</c:v>
                </c:pt>
                <c:pt idx="6">
                  <c:v>0.48768379506528658</c:v>
                </c:pt>
                <c:pt idx="7">
                  <c:v>0.48923032059380089</c:v>
                </c:pt>
                <c:pt idx="8">
                  <c:v>0.43629665252741057</c:v>
                </c:pt>
                <c:pt idx="9">
                  <c:v>0.52027356670009284</c:v>
                </c:pt>
                <c:pt idx="10">
                  <c:v>0.99545957857006528</c:v>
                </c:pt>
              </c:numCache>
            </c:numRef>
          </c:val>
        </c:ser>
        <c:ser>
          <c:idx val="2"/>
          <c:order val="3"/>
          <c:tx>
            <c:strRef>
              <c:f>'2011 Q2 GF'!$AA$48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GF'!$AA$49:$AA$59</c:f>
              <c:numCache>
                <c:formatCode>0.00%</c:formatCode>
                <c:ptCount val="11"/>
                <c:pt idx="0">
                  <c:v>0.4223117195210917</c:v>
                </c:pt>
                <c:pt idx="1">
                  <c:v>0.66017494740951188</c:v>
                </c:pt>
                <c:pt idx="2">
                  <c:v>0.55794302656965633</c:v>
                </c:pt>
                <c:pt idx="3">
                  <c:v>0.5135522769390084</c:v>
                </c:pt>
                <c:pt idx="4">
                  <c:v>0.25589331979217905</c:v>
                </c:pt>
                <c:pt idx="5">
                  <c:v>0.41025089595677933</c:v>
                </c:pt>
                <c:pt idx="6">
                  <c:v>0.49775296404749392</c:v>
                </c:pt>
                <c:pt idx="7">
                  <c:v>0.49280050151511706</c:v>
                </c:pt>
                <c:pt idx="8">
                  <c:v>0.44773113044753193</c:v>
                </c:pt>
                <c:pt idx="9">
                  <c:v>0.51487346854770366</c:v>
                </c:pt>
                <c:pt idx="10">
                  <c:v>0.89383457429893021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30048"/>
        <c:axId val="126131584"/>
      </c:barChart>
      <c:catAx>
        <c:axId val="1261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13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315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13004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676869339"/>
          <c:y val="0.93287255759696708"/>
          <c:w val="0.24044489175695144"/>
          <c:h val="4.65990516617521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Revenue by Source</a:t>
            </a:r>
          </a:p>
        </c:rich>
      </c:tx>
      <c:layout>
        <c:manualLayout>
          <c:xMode val="edge"/>
          <c:yMode val="edge"/>
          <c:x val="0.2906110283159463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GF'!$D$16</c:f>
              <c:strCache>
                <c:ptCount val="1"/>
                <c:pt idx="0">
                  <c:v>YTD Collections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GF'!$D$17:$D$23</c:f>
              <c:numCache>
                <c:formatCode>"$"#,##0_);[Red]\("$"#,##0\)</c:formatCode>
                <c:ptCount val="7"/>
                <c:pt idx="0">
                  <c:v>74294017</c:v>
                </c:pt>
                <c:pt idx="1">
                  <c:v>1500</c:v>
                </c:pt>
                <c:pt idx="2">
                  <c:v>201598.63</c:v>
                </c:pt>
                <c:pt idx="3">
                  <c:v>3458580</c:v>
                </c:pt>
                <c:pt idx="4">
                  <c:v>355150</c:v>
                </c:pt>
                <c:pt idx="5">
                  <c:v>470299</c:v>
                </c:pt>
                <c:pt idx="6">
                  <c:v>169386</c:v>
                </c:pt>
              </c:numCache>
            </c:numRef>
          </c:val>
        </c:ser>
        <c:ser>
          <c:idx val="1"/>
          <c:order val="1"/>
          <c:tx>
            <c:strRef>
              <c:f>'2011 Q1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GF'!$H$17:$H$23</c:f>
              <c:numCache>
                <c:formatCode>"$"#,##0_);[Red]\("$"#,##0\)</c:formatCode>
                <c:ptCount val="7"/>
                <c:pt idx="0">
                  <c:v>56569473</c:v>
                </c:pt>
                <c:pt idx="1">
                  <c:v>2500</c:v>
                </c:pt>
                <c:pt idx="2" formatCode="#,##0_);[Red]\(#,##0\)">
                  <c:v>3110778.37</c:v>
                </c:pt>
                <c:pt idx="3" formatCode="#,##0_);[Red]\(#,##0\)">
                  <c:v>11746432</c:v>
                </c:pt>
                <c:pt idx="4" formatCode="#,##0_);[Red]\(#,##0\)">
                  <c:v>1392850</c:v>
                </c:pt>
                <c:pt idx="5" formatCode="#,##0_);[Red]\(#,##0\)">
                  <c:v>649301</c:v>
                </c:pt>
                <c:pt idx="6" formatCode="#,##0_);[Red]\(#,##0\)">
                  <c:v>294454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12960"/>
        <c:axId val="125923328"/>
      </c:barChart>
      <c:lineChart>
        <c:grouping val="stacked"/>
        <c:varyColors val="0"/>
        <c:ser>
          <c:idx val="2"/>
          <c:order val="2"/>
          <c:tx>
            <c:strRef>
              <c:f>'2011 Q1 GF'!$I$16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GF'!$I$17:$I$23</c:f>
              <c:numCache>
                <c:formatCode>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2960"/>
        <c:axId val="125923328"/>
      </c:lineChart>
      <c:catAx>
        <c:axId val="1259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9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2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912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2831594637"/>
          <c:y val="0.93239554914790579"/>
          <c:w val="0.47988077496274223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2013 General Fund Revenue by Source</a:t>
            </a:r>
          </a:p>
        </c:rich>
      </c:tx>
      <c:layout>
        <c:manualLayout>
          <c:xMode val="edge"/>
          <c:yMode val="edge"/>
          <c:x val="0.25494978803726798"/>
          <c:y val="1.4084503673942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GF'!$D$16</c:f>
              <c:strCache>
                <c:ptCount val="1"/>
                <c:pt idx="0">
                  <c:v>YTD Collections as of 7/15/13</c:v>
                </c:pt>
              </c:strCache>
            </c:strRef>
          </c:tx>
          <c:invertIfNegative val="0"/>
          <c:cat>
            <c:strRef>
              <c:f>'2013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Q3 GF'!$D$17:$D$23</c:f>
              <c:numCache>
                <c:formatCode>#,##0_);[Red]\(#,##0\)</c:formatCode>
                <c:ptCount val="7"/>
                <c:pt idx="0" formatCode="&quot;$&quot;#,##0_);[Red]\(&quot;$&quot;#,##0\)">
                  <c:v>128308203</c:v>
                </c:pt>
                <c:pt idx="1">
                  <c:v>286722</c:v>
                </c:pt>
                <c:pt idx="2">
                  <c:v>3445149</c:v>
                </c:pt>
                <c:pt idx="3">
                  <c:v>13890249</c:v>
                </c:pt>
                <c:pt idx="4">
                  <c:v>1651915</c:v>
                </c:pt>
                <c:pt idx="5">
                  <c:v>238785</c:v>
                </c:pt>
                <c:pt idx="6">
                  <c:v>2381921</c:v>
                </c:pt>
              </c:numCache>
            </c:numRef>
          </c:val>
        </c:ser>
        <c:ser>
          <c:idx val="1"/>
          <c:order val="1"/>
          <c:tx>
            <c:strRef>
              <c:f>'2013 Q3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Q3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'2013 Q3 GF'!$H$17:$H$23</c:f>
              <c:numCache>
                <c:formatCode>"$"#,##0_);[Red]\("$"#,##0\)</c:formatCode>
                <c:ptCount val="7"/>
                <c:pt idx="0">
                  <c:v>0</c:v>
                </c:pt>
                <c:pt idx="1">
                  <c:v>0</c:v>
                </c:pt>
                <c:pt idx="2" formatCode="#,##0_);[Red]\(#,##0\)">
                  <c:v>380273</c:v>
                </c:pt>
                <c:pt idx="3" formatCode="#,##0_);[Red]\(#,##0\)">
                  <c:v>4372601</c:v>
                </c:pt>
                <c:pt idx="4" formatCode="#,##0_);[Red]\(#,##0\)">
                  <c:v>310240</c:v>
                </c:pt>
                <c:pt idx="5" formatCode="#,##0_);[Red]\(#,##0\)">
                  <c:v>1297696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92960"/>
        <c:axId val="109594880"/>
      </c:barChart>
      <c:lineChart>
        <c:grouping val="stacked"/>
        <c:varyColors val="0"/>
        <c:ser>
          <c:idx val="2"/>
          <c:order val="2"/>
          <c:tx>
            <c:strRef>
              <c:f>'2013 Q3 GF'!$I$16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GF'!$I$17:$I$23</c:f>
              <c:numCache>
                <c:formatCode>0%</c:formatCode>
                <c:ptCount val="7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92960"/>
        <c:axId val="109594880"/>
      </c:lineChart>
      <c:catAx>
        <c:axId val="1095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0959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94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592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572890778033278"/>
          <c:y val="0.92328400863331717"/>
          <c:w val="0.62344025580873186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2011 General Fund Expenditures by Function Area</a:t>
            </a:r>
          </a:p>
        </c:rich>
      </c:tx>
      <c:layout>
        <c:manualLayout>
          <c:xMode val="edge"/>
          <c:yMode val="edge"/>
          <c:x val="0.23695978782262411"/>
          <c:y val="3.1250080376923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GF'!$D$48</c:f>
              <c:strCache>
                <c:ptCount val="1"/>
                <c:pt idx="0">
                  <c:v>YTD Expenditures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Q1 GF'!$D$49:$D$59</c:f>
              <c:numCache>
                <c:formatCode>"$"#,##0_);[Red]\("$"#,##0\)</c:formatCode>
                <c:ptCount val="11"/>
                <c:pt idx="0">
                  <c:v>56380</c:v>
                </c:pt>
                <c:pt idx="1">
                  <c:v>155301</c:v>
                </c:pt>
                <c:pt idx="2">
                  <c:v>409939</c:v>
                </c:pt>
                <c:pt idx="3">
                  <c:v>1935547</c:v>
                </c:pt>
                <c:pt idx="4">
                  <c:v>9673916</c:v>
                </c:pt>
                <c:pt idx="5">
                  <c:v>2124662</c:v>
                </c:pt>
                <c:pt idx="6">
                  <c:v>2826657</c:v>
                </c:pt>
                <c:pt idx="7">
                  <c:v>2136273</c:v>
                </c:pt>
                <c:pt idx="8">
                  <c:v>1880818</c:v>
                </c:pt>
                <c:pt idx="9">
                  <c:v>10123249</c:v>
                </c:pt>
                <c:pt idx="10">
                  <c:v>2905000</c:v>
                </c:pt>
              </c:numCache>
            </c:numRef>
          </c:val>
        </c:ser>
        <c:ser>
          <c:idx val="1"/>
          <c:order val="1"/>
          <c:tx>
            <c:strRef>
              <c:f>'2011 Q1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Q1 GF'!$H$49:$H$59</c:f>
              <c:numCache>
                <c:formatCode>#,##0</c:formatCode>
                <c:ptCount val="11"/>
                <c:pt idx="0" formatCode="&quot;$&quot;#,##0_);[Red]\(&quot;$&quot;#,##0\)">
                  <c:v>259015</c:v>
                </c:pt>
                <c:pt idx="1">
                  <c:v>221069</c:v>
                </c:pt>
                <c:pt idx="2">
                  <c:v>2482162</c:v>
                </c:pt>
                <c:pt idx="3">
                  <c:v>8650774</c:v>
                </c:pt>
                <c:pt idx="4">
                  <c:v>26920283</c:v>
                </c:pt>
                <c:pt idx="5">
                  <c:v>10226159</c:v>
                </c:pt>
                <c:pt idx="6">
                  <c:v>11762730</c:v>
                </c:pt>
                <c:pt idx="7">
                  <c:v>8759297</c:v>
                </c:pt>
                <c:pt idx="8">
                  <c:v>8337298</c:v>
                </c:pt>
                <c:pt idx="9">
                  <c:v>35382094</c:v>
                </c:pt>
                <c:pt idx="10">
                  <c:v>6450000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53536"/>
        <c:axId val="125955456"/>
      </c:barChart>
      <c:lineChart>
        <c:grouping val="stacked"/>
        <c:varyColors val="0"/>
        <c:ser>
          <c:idx val="2"/>
          <c:order val="2"/>
          <c:tx>
            <c:strRef>
              <c:f>'2011 Q1 GF'!$G$48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GF'!$I$49:$I$59</c:f>
              <c:numCache>
                <c:formatCode>0%</c:formatCode>
                <c:ptCount val="11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53536"/>
        <c:axId val="125955456"/>
      </c:lineChart>
      <c:catAx>
        <c:axId val="1259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95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5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5953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7278526094"/>
          <c:y val="0.92548082937294307"/>
          <c:w val="0.53502241005481521"/>
          <c:h val="5.28846255019904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02304"/>
        <c:axId val="126003840"/>
      </c:barChart>
      <c:catAx>
        <c:axId val="126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0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0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002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58880"/>
        <c:axId val="126060416"/>
      </c:barChart>
      <c:catAx>
        <c:axId val="1260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06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6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05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70144"/>
        <c:axId val="126489728"/>
      </c:barChart>
      <c:catAx>
        <c:axId val="1260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48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4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0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15840"/>
        <c:axId val="126517632"/>
      </c:barChart>
      <c:catAx>
        <c:axId val="1265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51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5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Revenue 
Collected 1st Quarter of Fiscal Year</a:t>
            </a:r>
          </a:p>
        </c:rich>
      </c:tx>
      <c:layout>
        <c:manualLayout>
          <c:xMode val="edge"/>
          <c:yMode val="edge"/>
          <c:x val="0.33284054729845158"/>
          <c:y val="3.3898427453015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GF'!$M$16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GF'!$M$17:$M$23</c:f>
              <c:numCache>
                <c:formatCode>0.00%</c:formatCode>
                <c:ptCount val="7"/>
                <c:pt idx="0">
                  <c:v>0.56772150123766374</c:v>
                </c:pt>
                <c:pt idx="1">
                  <c:v>0.375</c:v>
                </c:pt>
                <c:pt idx="2">
                  <c:v>6.0862223714269241E-2</c:v>
                </c:pt>
                <c:pt idx="3">
                  <c:v>0.22746315491234076</c:v>
                </c:pt>
                <c:pt idx="4">
                  <c:v>0.20317505720823797</c:v>
                </c:pt>
                <c:pt idx="5">
                  <c:v>0.42005984280100034</c:v>
                </c:pt>
                <c:pt idx="6">
                  <c:v>0.36518195929630909</c:v>
                </c:pt>
              </c:numCache>
            </c:numRef>
          </c:val>
        </c:ser>
        <c:ser>
          <c:idx val="0"/>
          <c:order val="1"/>
          <c:tx>
            <c:strRef>
              <c:f>'2011 Q1 GF'!$Q$16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GF'!$J$17:$J$23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'2011 Q1 GF'!$Q$17:$Q$23</c:f>
              <c:numCache>
                <c:formatCode>0.00%</c:formatCode>
                <c:ptCount val="7"/>
                <c:pt idx="0">
                  <c:v>0.47410296220320286</c:v>
                </c:pt>
                <c:pt idx="1">
                  <c:v>0.2</c:v>
                </c:pt>
                <c:pt idx="2">
                  <c:v>3.2770106220383115E-2</c:v>
                </c:pt>
                <c:pt idx="3">
                  <c:v>0.19491208363105683</c:v>
                </c:pt>
                <c:pt idx="4">
                  <c:v>0.21016330387147389</c:v>
                </c:pt>
                <c:pt idx="5">
                  <c:v>0.13684834316706085</c:v>
                </c:pt>
                <c:pt idx="6">
                  <c:v>0.16959126464834604</c:v>
                </c:pt>
              </c:numCache>
            </c:numRef>
          </c:val>
        </c:ser>
        <c:ser>
          <c:idx val="1"/>
          <c:order val="2"/>
          <c:tx>
            <c:strRef>
              <c:f>'2011 Q1 GF'!$U$16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GF'!$U$17:$U$23</c:f>
              <c:numCache>
                <c:formatCode>0.00%</c:formatCode>
                <c:ptCount val="7"/>
                <c:pt idx="0">
                  <c:v>0.4399957837194553</c:v>
                </c:pt>
                <c:pt idx="1">
                  <c:v>0.25</c:v>
                </c:pt>
                <c:pt idx="2">
                  <c:v>6.1367686372707092E-2</c:v>
                </c:pt>
                <c:pt idx="3">
                  <c:v>0.1958720945689679</c:v>
                </c:pt>
                <c:pt idx="4">
                  <c:v>0.22635978265100312</c:v>
                </c:pt>
                <c:pt idx="5">
                  <c:v>0.26441532420323033</c:v>
                </c:pt>
                <c:pt idx="6">
                  <c:v>0.22558865613780382</c:v>
                </c:pt>
              </c:numCache>
            </c:numRef>
          </c:val>
        </c:ser>
        <c:ser>
          <c:idx val="2"/>
          <c:order val="3"/>
          <c:tx>
            <c:strRef>
              <c:f>'2011 Q1 GF'!$Y$16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GF'!$Y$17:$Y$23</c:f>
              <c:numCache>
                <c:formatCode>0.00%</c:formatCode>
                <c:ptCount val="7"/>
                <c:pt idx="0">
                  <c:v>0.4455491771104601</c:v>
                </c:pt>
                <c:pt idx="1">
                  <c:v>0.25</c:v>
                </c:pt>
                <c:pt idx="2">
                  <c:v>0.14295814228937226</c:v>
                </c:pt>
                <c:pt idx="3">
                  <c:v>0.24245529799551296</c:v>
                </c:pt>
                <c:pt idx="4">
                  <c:v>0.20948846589909664</c:v>
                </c:pt>
                <c:pt idx="5">
                  <c:v>0.20454940692446705</c:v>
                </c:pt>
                <c:pt idx="6">
                  <c:v>4.8674176604927843E-2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73184"/>
        <c:axId val="126583168"/>
      </c:barChart>
      <c:catAx>
        <c:axId val="126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58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5831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573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0351146932"/>
          <c:y val="0.9152569395874226"/>
          <c:w val="0.24116883318579257"/>
          <c:h val="5.77054802247140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General Fund Expenditures 
Spent 1st Quarter of Fiscal Year</a:t>
            </a:r>
          </a:p>
        </c:rich>
      </c:tx>
      <c:layout>
        <c:manualLayout>
          <c:xMode val="edge"/>
          <c:yMode val="edge"/>
          <c:x val="0.33383685800604229"/>
          <c:y val="3.0092565589795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38900505688714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GF'!$M$48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GF'!$M$49:$M$59</c:f>
              <c:numCache>
                <c:formatCode>0.00%</c:formatCode>
                <c:ptCount val="11"/>
                <c:pt idx="0">
                  <c:v>0.17875996765960145</c:v>
                </c:pt>
                <c:pt idx="1">
                  <c:v>0.4126285304354757</c:v>
                </c:pt>
                <c:pt idx="2">
                  <c:v>0.14174435816729775</c:v>
                </c:pt>
                <c:pt idx="3">
                  <c:v>0.18283471661212616</c:v>
                </c:pt>
                <c:pt idx="4">
                  <c:v>0.26435654459877644</c:v>
                </c:pt>
                <c:pt idx="5">
                  <c:v>0.17202597301021527</c:v>
                </c:pt>
                <c:pt idx="6">
                  <c:v>0.19374748233082034</c:v>
                </c:pt>
                <c:pt idx="7">
                  <c:v>0.19606803499036765</c:v>
                </c:pt>
                <c:pt idx="8">
                  <c:v>0.18406700413266008</c:v>
                </c:pt>
                <c:pt idx="9">
                  <c:v>0.22246286551449573</c:v>
                </c:pt>
                <c:pt idx="10">
                  <c:v>0.310529128808124</c:v>
                </c:pt>
              </c:numCache>
            </c:numRef>
          </c:val>
        </c:ser>
        <c:ser>
          <c:idx val="0"/>
          <c:order val="1"/>
          <c:tx>
            <c:strRef>
              <c:f>'2011 Q1 GF'!$Q$48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GF'!$J$49:$J$59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'2011 Q1 GF'!$Q$49:$Q$59</c:f>
              <c:numCache>
                <c:formatCode>0.00%</c:formatCode>
                <c:ptCount val="11"/>
                <c:pt idx="0">
                  <c:v>0.19900081323389399</c:v>
                </c:pt>
                <c:pt idx="1">
                  <c:v>0.12893696672095681</c:v>
                </c:pt>
                <c:pt idx="2">
                  <c:v>0.12185816250046731</c:v>
                </c:pt>
                <c:pt idx="3">
                  <c:v>0.21334383571474172</c:v>
                </c:pt>
                <c:pt idx="4">
                  <c:v>0.1624069395362375</c:v>
                </c:pt>
                <c:pt idx="5">
                  <c:v>0.21601079426431788</c:v>
                </c:pt>
                <c:pt idx="6">
                  <c:v>0.20987086109448316</c:v>
                </c:pt>
                <c:pt idx="7">
                  <c:v>0.22989079167659243</c:v>
                </c:pt>
                <c:pt idx="8">
                  <c:v>0.18266799547799736</c:v>
                </c:pt>
                <c:pt idx="9">
                  <c:v>0.22992714921835056</c:v>
                </c:pt>
                <c:pt idx="10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'2011 Q1 GF'!$U$48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GF'!$U$49:$U$59</c:f>
              <c:numCache>
                <c:formatCode>0.00%</c:formatCode>
                <c:ptCount val="11"/>
                <c:pt idx="0">
                  <c:v>0.16616294153025896</c:v>
                </c:pt>
                <c:pt idx="1">
                  <c:v>0.43226004663283502</c:v>
                </c:pt>
                <c:pt idx="2">
                  <c:v>0.12298868548639791</c:v>
                </c:pt>
                <c:pt idx="3">
                  <c:v>0.13145364818582114</c:v>
                </c:pt>
                <c:pt idx="4">
                  <c:v>0.13399036061802447</c:v>
                </c:pt>
                <c:pt idx="5">
                  <c:v>0.23340508412537969</c:v>
                </c:pt>
                <c:pt idx="6">
                  <c:v>0.16432066122679406</c:v>
                </c:pt>
                <c:pt idx="7">
                  <c:v>0.1732280884392077</c:v>
                </c:pt>
                <c:pt idx="8">
                  <c:v>0.1567415312208664</c:v>
                </c:pt>
                <c:pt idx="9">
                  <c:v>0.18497064745907685</c:v>
                </c:pt>
                <c:pt idx="10">
                  <c:v>0.22967961301741363</c:v>
                </c:pt>
              </c:numCache>
            </c:numRef>
          </c:val>
        </c:ser>
        <c:ser>
          <c:idx val="2"/>
          <c:order val="3"/>
          <c:tx>
            <c:strRef>
              <c:f>'2011 Q1 GF'!$AA$48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GF'!$AA$49:$AA$59</c:f>
              <c:numCache>
                <c:formatCode>0.00%</c:formatCode>
                <c:ptCount val="11"/>
                <c:pt idx="0">
                  <c:v>0.13736698524408264</c:v>
                </c:pt>
                <c:pt idx="1">
                  <c:v>0.43591234195745043</c:v>
                </c:pt>
                <c:pt idx="2">
                  <c:v>0.1889051024999846</c:v>
                </c:pt>
                <c:pt idx="3">
                  <c:v>0.17552326912867858</c:v>
                </c:pt>
                <c:pt idx="4">
                  <c:v>0.10414821492829741</c:v>
                </c:pt>
                <c:pt idx="5">
                  <c:v>0.13525057795969705</c:v>
                </c:pt>
                <c:pt idx="6">
                  <c:v>0.16973021640796615</c:v>
                </c:pt>
                <c:pt idx="7">
                  <c:v>0.16745348980815764</c:v>
                </c:pt>
                <c:pt idx="8">
                  <c:v>0.16449178392525535</c:v>
                </c:pt>
                <c:pt idx="9">
                  <c:v>0.18350159827072163</c:v>
                </c:pt>
                <c:pt idx="10">
                  <c:v>0.11053567467051803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14144"/>
        <c:axId val="126632320"/>
      </c:barChart>
      <c:catAx>
        <c:axId val="1266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6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323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61414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462235651"/>
          <c:y val="0.93287255759696708"/>
          <c:w val="0.24044484620691292"/>
          <c:h val="4.65990516617521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Revenue by Source</a:t>
            </a:r>
          </a:p>
        </c:rich>
      </c:tx>
      <c:layout>
        <c:manualLayout>
          <c:xMode val="edge"/>
          <c:yMode val="edge"/>
          <c:x val="0.2637853774964608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GF'!$D$16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GF'!$D$17:$D$23</c:f>
              <c:numCache>
                <c:formatCode>"$"#,##0_);[Red]\("$"#,##0\)</c:formatCode>
                <c:ptCount val="7"/>
                <c:pt idx="0">
                  <c:v>129998044.09</c:v>
                </c:pt>
                <c:pt idx="1">
                  <c:v>2500</c:v>
                </c:pt>
                <c:pt idx="2">
                  <c:v>3244665.99</c:v>
                </c:pt>
                <c:pt idx="3">
                  <c:v>14961200.730000002</c:v>
                </c:pt>
                <c:pt idx="4">
                  <c:v>1794927.36</c:v>
                </c:pt>
                <c:pt idx="5">
                  <c:v>2178097.27</c:v>
                </c:pt>
                <c:pt idx="6">
                  <c:v>621292.79</c:v>
                </c:pt>
              </c:numCache>
            </c:numRef>
          </c:val>
        </c:ser>
        <c:ser>
          <c:idx val="1"/>
          <c:order val="1"/>
          <c:tx>
            <c:strRef>
              <c:f>'2010 Q4 GF'!$H$16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GF'!$A$17:$B$23</c:f>
              <c:strCache>
                <c:ptCount val="7"/>
                <c:pt idx="0">
                  <c:v>Current / Delinquent Taxes</c:v>
                </c:pt>
                <c:pt idx="1">
                  <c:v>License / Permits</c:v>
                </c:pt>
                <c:pt idx="2">
                  <c:v>Intergovernmental Revenue</c:v>
                </c:pt>
                <c:pt idx="3">
                  <c:v>Fees/Charges for Services</c:v>
                </c:pt>
                <c:pt idx="4">
                  <c:v>Fines</c:v>
                </c:pt>
                <c:pt idx="5">
                  <c:v>Investment Revenue</c:v>
                </c:pt>
                <c:pt idx="6">
                  <c:v>Miscellaneous</c:v>
                </c:pt>
              </c:strCache>
            </c:strRef>
          </c:cat>
          <c:val>
            <c:numRef>
              <c:f>'2010 Q4 GF'!$H$17:$H$23</c:f>
              <c:numCache>
                <c:formatCode>"$"#,##0_);[Red]\("$"#,##0\)</c:formatCode>
                <c:ptCount val="7"/>
                <c:pt idx="0">
                  <c:v>452685.90999999642</c:v>
                </c:pt>
                <c:pt idx="1">
                  <c:v>1500</c:v>
                </c:pt>
                <c:pt idx="2" formatCode="#,##0_);[Red]\(#,##0\)">
                  <c:v>302469.00999999978</c:v>
                </c:pt>
                <c:pt idx="3" formatCode="#,##0_);[Red]\(#,##0\)">
                  <c:v>1995903.2699999977</c:v>
                </c:pt>
                <c:pt idx="4" formatCode="#,##0_);[Red]\(#,##0\)">
                  <c:v>506092.6399999999</c:v>
                </c:pt>
                <c:pt idx="5" formatCode="#,##0_);[Red]\(#,##0\)">
                  <c:v>955192.73</c:v>
                </c:pt>
                <c:pt idx="6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71488"/>
        <c:axId val="126673664"/>
      </c:barChart>
      <c:lineChart>
        <c:grouping val="stacked"/>
        <c:varyColors val="0"/>
        <c:ser>
          <c:idx val="2"/>
          <c:order val="2"/>
          <c:tx>
            <c:strRef>
              <c:f>'2010 Q4 GF'!$I$16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Q4 GF'!$I$17:$I$23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71488"/>
        <c:axId val="126673664"/>
      </c:lineChart>
      <c:catAx>
        <c:axId val="1266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67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7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671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14009430099102"/>
          <c:y val="0.93239554914790579"/>
          <c:w val="0.48882264159773486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2010 YTD General Fund Expenditures by Function Area</a:t>
            </a:r>
          </a:p>
        </c:rich>
      </c:tx>
      <c:layout>
        <c:manualLayout>
          <c:xMode val="edge"/>
          <c:yMode val="edge"/>
          <c:x val="0.21162437161922368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6057692307692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GF'!$D$48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Q4 GF'!$D$49:$D$59</c:f>
              <c:numCache>
                <c:formatCode>"$"#,##0_);[Red]\("$"#,##0\)</c:formatCode>
                <c:ptCount val="11"/>
                <c:pt idx="0">
                  <c:v>268555.12</c:v>
                </c:pt>
                <c:pt idx="1">
                  <c:v>423925.69</c:v>
                </c:pt>
                <c:pt idx="2">
                  <c:v>2686839.94</c:v>
                </c:pt>
                <c:pt idx="3">
                  <c:v>9887771.1099999994</c:v>
                </c:pt>
                <c:pt idx="4">
                  <c:v>28645456.449999999</c:v>
                </c:pt>
                <c:pt idx="5">
                  <c:v>10842673.359999999</c:v>
                </c:pt>
                <c:pt idx="6">
                  <c:v>13640147.98</c:v>
                </c:pt>
                <c:pt idx="7">
                  <c:v>10309398.390000001</c:v>
                </c:pt>
                <c:pt idx="8">
                  <c:v>9270329</c:v>
                </c:pt>
                <c:pt idx="9">
                  <c:v>44409312.299999997</c:v>
                </c:pt>
                <c:pt idx="10">
                  <c:v>8420000</c:v>
                </c:pt>
              </c:numCache>
            </c:numRef>
          </c:val>
        </c:ser>
        <c:ser>
          <c:idx val="1"/>
          <c:order val="1"/>
          <c:tx>
            <c:strRef>
              <c:f>'2010 Q4 GF'!$H$48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99336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GF'!$A$49:$B$59</c:f>
              <c:strCache>
                <c:ptCount val="11"/>
                <c:pt idx="0">
                  <c:v>Conservation</c:v>
                </c:pt>
                <c:pt idx="1">
                  <c:v>Culture And Recreation</c:v>
                </c:pt>
                <c:pt idx="2">
                  <c:v>Equipment Services</c:v>
                </c:pt>
                <c:pt idx="3">
                  <c:v>Financial Administration</c:v>
                </c:pt>
                <c:pt idx="4">
                  <c:v>General Administration</c:v>
                </c:pt>
                <c:pt idx="5">
                  <c:v>Health And Welfare</c:v>
                </c:pt>
                <c:pt idx="6">
                  <c:v>Judicial</c:v>
                </c:pt>
                <c:pt idx="7">
                  <c:v>Legal</c:v>
                </c:pt>
                <c:pt idx="8">
                  <c:v>Public Facilities</c:v>
                </c:pt>
                <c:pt idx="9">
                  <c:v>Public Safety</c:v>
                </c:pt>
                <c:pt idx="10">
                  <c:v>Transfers</c:v>
                </c:pt>
              </c:strCache>
            </c:strRef>
          </c:cat>
          <c:val>
            <c:numRef>
              <c:f>'2010 Q4 GF'!$H$49:$H$59</c:f>
              <c:numCache>
                <c:formatCode>#,##0</c:formatCode>
                <c:ptCount val="11"/>
                <c:pt idx="0" formatCode="&quot;$&quot;#,##0_);[Red]\(&quot;$&quot;#,##0\)">
                  <c:v>33940.880000000005</c:v>
                </c:pt>
                <c:pt idx="1">
                  <c:v>0</c:v>
                </c:pt>
                <c:pt idx="2">
                  <c:v>576486.06000000006</c:v>
                </c:pt>
                <c:pt idx="3">
                  <c:v>716807.8900000006</c:v>
                </c:pt>
                <c:pt idx="4">
                  <c:v>7387729.5500000007</c:v>
                </c:pt>
                <c:pt idx="5">
                  <c:v>760340.6400000006</c:v>
                </c:pt>
                <c:pt idx="6">
                  <c:v>1102427.0199999996</c:v>
                </c:pt>
                <c:pt idx="7">
                  <c:v>466428.6099999994</c:v>
                </c:pt>
                <c:pt idx="8">
                  <c:v>1510735</c:v>
                </c:pt>
                <c:pt idx="9">
                  <c:v>1562191.700000003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273792"/>
        <c:axId val="126275968"/>
      </c:barChart>
      <c:lineChart>
        <c:grouping val="stacked"/>
        <c:varyColors val="0"/>
        <c:ser>
          <c:idx val="2"/>
          <c:order val="2"/>
          <c:tx>
            <c:strRef>
              <c:f>'2010 Q4 GF'!$G$48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Q4 GF'!$I$49:$I$59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73792"/>
        <c:axId val="126275968"/>
      </c:lineChart>
      <c:catAx>
        <c:axId val="126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2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7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6273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123694976463752"/>
          <c:y val="0.92548076923076927"/>
          <c:w val="0.54396430758190895"/>
          <c:h val="5.28846153846154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'2010 Q4 GF'!#REF!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'2010 Q4 GF'!#REF!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22560"/>
        <c:axId val="126324096"/>
      </c:barChart>
      <c:catAx>
        <c:axId val="1263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2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2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22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6" Type="http://schemas.openxmlformats.org/officeDocument/2006/relationships/chart" Target="../charts/chart77.xml"/><Relationship Id="rId5" Type="http://schemas.openxmlformats.org/officeDocument/2006/relationships/chart" Target="../charts/chart76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image" Target="../media/image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5.xml"/><Relationship Id="rId3" Type="http://schemas.openxmlformats.org/officeDocument/2006/relationships/chart" Target="../charts/chart90.xml"/><Relationship Id="rId7" Type="http://schemas.openxmlformats.org/officeDocument/2006/relationships/chart" Target="../charts/chart94.xml"/><Relationship Id="rId2" Type="http://schemas.openxmlformats.org/officeDocument/2006/relationships/chart" Target="../charts/chart89.xml"/><Relationship Id="rId1" Type="http://schemas.openxmlformats.org/officeDocument/2006/relationships/image" Target="../media/image1.png"/><Relationship Id="rId6" Type="http://schemas.openxmlformats.org/officeDocument/2006/relationships/chart" Target="../charts/chart93.xml"/><Relationship Id="rId5" Type="http://schemas.openxmlformats.org/officeDocument/2006/relationships/chart" Target="../charts/chart92.xml"/><Relationship Id="rId4" Type="http://schemas.openxmlformats.org/officeDocument/2006/relationships/chart" Target="../charts/chart91.xml"/><Relationship Id="rId9" Type="http://schemas.openxmlformats.org/officeDocument/2006/relationships/chart" Target="../charts/chart96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2" Type="http://schemas.openxmlformats.org/officeDocument/2006/relationships/chart" Target="../charts/chart97.xml"/><Relationship Id="rId1" Type="http://schemas.openxmlformats.org/officeDocument/2006/relationships/image" Target="../media/image1.png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openxmlformats.org/officeDocument/2006/relationships/chart" Target="../charts/chart105.xml"/><Relationship Id="rId1" Type="http://schemas.openxmlformats.org/officeDocument/2006/relationships/image" Target="../media/image2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Relationship Id="rId9" Type="http://schemas.openxmlformats.org/officeDocument/2006/relationships/chart" Target="../charts/chart11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9.xml"/><Relationship Id="rId3" Type="http://schemas.openxmlformats.org/officeDocument/2006/relationships/chart" Target="../charts/chart114.xml"/><Relationship Id="rId7" Type="http://schemas.openxmlformats.org/officeDocument/2006/relationships/chart" Target="../charts/chart118.xml"/><Relationship Id="rId2" Type="http://schemas.openxmlformats.org/officeDocument/2006/relationships/chart" Target="../charts/chart113.xml"/><Relationship Id="rId1" Type="http://schemas.openxmlformats.org/officeDocument/2006/relationships/image" Target="../media/image1.png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Relationship Id="rId9" Type="http://schemas.openxmlformats.org/officeDocument/2006/relationships/chart" Target="../charts/chart12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111</xdr:row>
      <xdr:rowOff>95251</xdr:rowOff>
    </xdr:from>
    <xdr:to>
      <xdr:col>5</xdr:col>
      <xdr:colOff>1352550</xdr:colOff>
      <xdr:row>135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62</xdr:row>
      <xdr:rowOff>104774</xdr:rowOff>
    </xdr:from>
    <xdr:to>
      <xdr:col>5</xdr:col>
      <xdr:colOff>1419225</xdr:colOff>
      <xdr:row>87</xdr:row>
      <xdr:rowOff>85724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1660328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94</xdr:row>
      <xdr:rowOff>19050</xdr:rowOff>
    </xdr:from>
    <xdr:to>
      <xdr:col>5</xdr:col>
      <xdr:colOff>1371600</xdr:colOff>
      <xdr:row>115</xdr:row>
      <xdr:rowOff>38100</xdr:rowOff>
    </xdr:to>
    <xdr:graphicFrame macro="">
      <xdr:nvGraphicFramePr>
        <xdr:cNvPr id="1660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117</xdr:row>
      <xdr:rowOff>114300</xdr:rowOff>
    </xdr:from>
    <xdr:to>
      <xdr:col>5</xdr:col>
      <xdr:colOff>1390650</xdr:colOff>
      <xdr:row>144</xdr:row>
      <xdr:rowOff>19050</xdr:rowOff>
    </xdr:to>
    <xdr:graphicFrame macro="">
      <xdr:nvGraphicFramePr>
        <xdr:cNvPr id="16603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16603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166033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166033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166033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166033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166033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124979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94</xdr:row>
      <xdr:rowOff>19050</xdr:rowOff>
    </xdr:from>
    <xdr:to>
      <xdr:col>5</xdr:col>
      <xdr:colOff>1371600</xdr:colOff>
      <xdr:row>115</xdr:row>
      <xdr:rowOff>38100</xdr:rowOff>
    </xdr:to>
    <xdr:graphicFrame macro="">
      <xdr:nvGraphicFramePr>
        <xdr:cNvPr id="12497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117</xdr:row>
      <xdr:rowOff>114300</xdr:rowOff>
    </xdr:from>
    <xdr:to>
      <xdr:col>5</xdr:col>
      <xdr:colOff>1390650</xdr:colOff>
      <xdr:row>144</xdr:row>
      <xdr:rowOff>19050</xdr:rowOff>
    </xdr:to>
    <xdr:graphicFrame macro="">
      <xdr:nvGraphicFramePr>
        <xdr:cNvPr id="12497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124979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124979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124979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124980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124980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124980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850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285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111</xdr:row>
      <xdr:rowOff>142875</xdr:rowOff>
    </xdr:from>
    <xdr:to>
      <xdr:col>5</xdr:col>
      <xdr:colOff>1409700</xdr:colOff>
      <xdr:row>138</xdr:row>
      <xdr:rowOff>47625</xdr:rowOff>
    </xdr:to>
    <xdr:graphicFrame macro="">
      <xdr:nvGraphicFramePr>
        <xdr:cNvPr id="285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285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285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2850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2850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2850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285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41807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5</xdr:col>
      <xdr:colOff>1419225</xdr:colOff>
      <xdr:row>109</xdr:row>
      <xdr:rowOff>28575</xdr:rowOff>
    </xdr:to>
    <xdr:graphicFrame macro="">
      <xdr:nvGraphicFramePr>
        <xdr:cNvPr id="418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111</xdr:row>
      <xdr:rowOff>85725</xdr:rowOff>
    </xdr:from>
    <xdr:to>
      <xdr:col>5</xdr:col>
      <xdr:colOff>1419225</xdr:colOff>
      <xdr:row>136</xdr:row>
      <xdr:rowOff>0</xdr:rowOff>
    </xdr:to>
    <xdr:graphicFrame macro="">
      <xdr:nvGraphicFramePr>
        <xdr:cNvPr id="418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5</xdr:col>
      <xdr:colOff>1447800</xdr:colOff>
      <xdr:row>87</xdr:row>
      <xdr:rowOff>0</xdr:rowOff>
    </xdr:to>
    <xdr:graphicFrame macro="">
      <xdr:nvGraphicFramePr>
        <xdr:cNvPr id="418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9525</xdr:colOff>
      <xdr:row>87</xdr:row>
      <xdr:rowOff>0</xdr:rowOff>
    </xdr:to>
    <xdr:graphicFrame macro="">
      <xdr:nvGraphicFramePr>
        <xdr:cNvPr id="4181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0</xdr:colOff>
      <xdr:row>87</xdr:row>
      <xdr:rowOff>0</xdr:rowOff>
    </xdr:to>
    <xdr:graphicFrame macro="">
      <xdr:nvGraphicFramePr>
        <xdr:cNvPr id="4181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19050</xdr:colOff>
      <xdr:row>87</xdr:row>
      <xdr:rowOff>0</xdr:rowOff>
    </xdr:to>
    <xdr:graphicFrame macro="">
      <xdr:nvGraphicFramePr>
        <xdr:cNvPr id="4181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4181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61</xdr:row>
      <xdr:rowOff>0</xdr:rowOff>
    </xdr:from>
    <xdr:to>
      <xdr:col>5</xdr:col>
      <xdr:colOff>1323975</xdr:colOff>
      <xdr:row>86</xdr:row>
      <xdr:rowOff>114300</xdr:rowOff>
    </xdr:to>
    <xdr:graphicFrame macro="">
      <xdr:nvGraphicFramePr>
        <xdr:cNvPr id="4181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619125</xdr:colOff>
      <xdr:row>4</xdr:row>
      <xdr:rowOff>180975</xdr:rowOff>
    </xdr:to>
    <xdr:pic>
      <xdr:nvPicPr>
        <xdr:cNvPr id="3873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933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5</xdr:col>
      <xdr:colOff>1419225</xdr:colOff>
      <xdr:row>109</xdr:row>
      <xdr:rowOff>28575</xdr:rowOff>
    </xdr:to>
    <xdr:graphicFrame macro="">
      <xdr:nvGraphicFramePr>
        <xdr:cNvPr id="38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111</xdr:row>
      <xdr:rowOff>85725</xdr:rowOff>
    </xdr:from>
    <xdr:to>
      <xdr:col>5</xdr:col>
      <xdr:colOff>1419225</xdr:colOff>
      <xdr:row>136</xdr:row>
      <xdr:rowOff>0</xdr:rowOff>
    </xdr:to>
    <xdr:graphicFrame macro="">
      <xdr:nvGraphicFramePr>
        <xdr:cNvPr id="38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5</xdr:col>
      <xdr:colOff>1447800</xdr:colOff>
      <xdr:row>87</xdr:row>
      <xdr:rowOff>0</xdr:rowOff>
    </xdr:to>
    <xdr:graphicFrame macro="">
      <xdr:nvGraphicFramePr>
        <xdr:cNvPr id="3873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9525</xdr:colOff>
      <xdr:row>87</xdr:row>
      <xdr:rowOff>0</xdr:rowOff>
    </xdr:to>
    <xdr:graphicFrame macro="">
      <xdr:nvGraphicFramePr>
        <xdr:cNvPr id="3873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0</xdr:colOff>
      <xdr:row>87</xdr:row>
      <xdr:rowOff>0</xdr:rowOff>
    </xdr:to>
    <xdr:graphicFrame macro="">
      <xdr:nvGraphicFramePr>
        <xdr:cNvPr id="3874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19050</xdr:colOff>
      <xdr:row>87</xdr:row>
      <xdr:rowOff>0</xdr:rowOff>
    </xdr:to>
    <xdr:graphicFrame macro="">
      <xdr:nvGraphicFramePr>
        <xdr:cNvPr id="3874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3874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61</xdr:row>
      <xdr:rowOff>0</xdr:rowOff>
    </xdr:from>
    <xdr:to>
      <xdr:col>5</xdr:col>
      <xdr:colOff>1352550</xdr:colOff>
      <xdr:row>86</xdr:row>
      <xdr:rowOff>66675</xdr:rowOff>
    </xdr:to>
    <xdr:graphicFrame macro="">
      <xdr:nvGraphicFramePr>
        <xdr:cNvPr id="3874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361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5</xdr:col>
      <xdr:colOff>1419225</xdr:colOff>
      <xdr:row>109</xdr:row>
      <xdr:rowOff>28575</xdr:rowOff>
    </xdr:to>
    <xdr:graphicFrame macro="">
      <xdr:nvGraphicFramePr>
        <xdr:cNvPr id="336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111</xdr:row>
      <xdr:rowOff>85725</xdr:rowOff>
    </xdr:from>
    <xdr:to>
      <xdr:col>5</xdr:col>
      <xdr:colOff>1419225</xdr:colOff>
      <xdr:row>136</xdr:row>
      <xdr:rowOff>0</xdr:rowOff>
    </xdr:to>
    <xdr:graphicFrame macro="">
      <xdr:nvGraphicFramePr>
        <xdr:cNvPr id="336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5</xdr:col>
      <xdr:colOff>1447800</xdr:colOff>
      <xdr:row>87</xdr:row>
      <xdr:rowOff>0</xdr:rowOff>
    </xdr:to>
    <xdr:graphicFrame macro="">
      <xdr:nvGraphicFramePr>
        <xdr:cNvPr id="336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9525</xdr:colOff>
      <xdr:row>87</xdr:row>
      <xdr:rowOff>0</xdr:rowOff>
    </xdr:to>
    <xdr:graphicFrame macro="">
      <xdr:nvGraphicFramePr>
        <xdr:cNvPr id="336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0</xdr:colOff>
      <xdr:row>87</xdr:row>
      <xdr:rowOff>0</xdr:rowOff>
    </xdr:to>
    <xdr:graphicFrame macro="">
      <xdr:nvGraphicFramePr>
        <xdr:cNvPr id="3362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87</xdr:row>
      <xdr:rowOff>0</xdr:rowOff>
    </xdr:from>
    <xdr:to>
      <xdr:col>6</xdr:col>
      <xdr:colOff>19050</xdr:colOff>
      <xdr:row>87</xdr:row>
      <xdr:rowOff>0</xdr:rowOff>
    </xdr:to>
    <xdr:graphicFrame macro="">
      <xdr:nvGraphicFramePr>
        <xdr:cNvPr id="3362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133350</xdr:rowOff>
    </xdr:to>
    <xdr:graphicFrame macro="">
      <xdr:nvGraphicFramePr>
        <xdr:cNvPr id="3362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61</xdr:row>
      <xdr:rowOff>0</xdr:rowOff>
    </xdr:from>
    <xdr:to>
      <xdr:col>5</xdr:col>
      <xdr:colOff>1352550</xdr:colOff>
      <xdr:row>86</xdr:row>
      <xdr:rowOff>66675</xdr:rowOff>
    </xdr:to>
    <xdr:graphicFrame macro="">
      <xdr:nvGraphicFramePr>
        <xdr:cNvPr id="3362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111</xdr:row>
      <xdr:rowOff>95251</xdr:rowOff>
    </xdr:from>
    <xdr:to>
      <xdr:col>5</xdr:col>
      <xdr:colOff>1352550</xdr:colOff>
      <xdr:row>135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62</xdr:row>
      <xdr:rowOff>104774</xdr:rowOff>
    </xdr:from>
    <xdr:to>
      <xdr:col>5</xdr:col>
      <xdr:colOff>1419225</xdr:colOff>
      <xdr:row>87</xdr:row>
      <xdr:rowOff>85724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111</xdr:row>
      <xdr:rowOff>95251</xdr:rowOff>
    </xdr:from>
    <xdr:to>
      <xdr:col>5</xdr:col>
      <xdr:colOff>1352550</xdr:colOff>
      <xdr:row>135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62</xdr:row>
      <xdr:rowOff>104774</xdr:rowOff>
    </xdr:from>
    <xdr:to>
      <xdr:col>5</xdr:col>
      <xdr:colOff>1419225</xdr:colOff>
      <xdr:row>87</xdr:row>
      <xdr:rowOff>85724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111</xdr:row>
      <xdr:rowOff>95251</xdr:rowOff>
    </xdr:from>
    <xdr:to>
      <xdr:col>5</xdr:col>
      <xdr:colOff>1352550</xdr:colOff>
      <xdr:row>135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4279369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4279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111</xdr:row>
      <xdr:rowOff>142875</xdr:rowOff>
    </xdr:from>
    <xdr:to>
      <xdr:col>5</xdr:col>
      <xdr:colOff>1409700</xdr:colOff>
      <xdr:row>138</xdr:row>
      <xdr:rowOff>47625</xdr:rowOff>
    </xdr:to>
    <xdr:graphicFrame macro="">
      <xdr:nvGraphicFramePr>
        <xdr:cNvPr id="4279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427937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427937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427937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427937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427937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427937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45923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459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111</xdr:row>
      <xdr:rowOff>142875</xdr:rowOff>
    </xdr:from>
    <xdr:to>
      <xdr:col>5</xdr:col>
      <xdr:colOff>1409700</xdr:colOff>
      <xdr:row>138</xdr:row>
      <xdr:rowOff>47625</xdr:rowOff>
    </xdr:to>
    <xdr:graphicFrame macro="">
      <xdr:nvGraphicFramePr>
        <xdr:cNvPr id="3459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345923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34592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345924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345924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345924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345924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089616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30896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111</xdr:row>
      <xdr:rowOff>142875</xdr:rowOff>
    </xdr:from>
    <xdr:to>
      <xdr:col>5</xdr:col>
      <xdr:colOff>1409700</xdr:colOff>
      <xdr:row>138</xdr:row>
      <xdr:rowOff>47625</xdr:rowOff>
    </xdr:to>
    <xdr:graphicFrame macro="">
      <xdr:nvGraphicFramePr>
        <xdr:cNvPr id="30896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308961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30896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308962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308962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308962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308962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59713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95250</xdr:rowOff>
    </xdr:from>
    <xdr:to>
      <xdr:col>5</xdr:col>
      <xdr:colOff>1419225</xdr:colOff>
      <xdr:row>110</xdr:row>
      <xdr:rowOff>76200</xdr:rowOff>
    </xdr:to>
    <xdr:graphicFrame macro="">
      <xdr:nvGraphicFramePr>
        <xdr:cNvPr id="25971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111</xdr:row>
      <xdr:rowOff>142875</xdr:rowOff>
    </xdr:from>
    <xdr:to>
      <xdr:col>5</xdr:col>
      <xdr:colOff>1409700</xdr:colOff>
      <xdr:row>138</xdr:row>
      <xdr:rowOff>47625</xdr:rowOff>
    </xdr:to>
    <xdr:graphicFrame macro="">
      <xdr:nvGraphicFramePr>
        <xdr:cNvPr id="25971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259713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25971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259714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259714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259714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60</xdr:row>
      <xdr:rowOff>114300</xdr:rowOff>
    </xdr:from>
    <xdr:to>
      <xdr:col>5</xdr:col>
      <xdr:colOff>1390650</xdr:colOff>
      <xdr:row>88</xdr:row>
      <xdr:rowOff>133350</xdr:rowOff>
    </xdr:to>
    <xdr:graphicFrame macro="">
      <xdr:nvGraphicFramePr>
        <xdr:cNvPr id="259714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005353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94</xdr:row>
      <xdr:rowOff>19050</xdr:rowOff>
    </xdr:from>
    <xdr:to>
      <xdr:col>5</xdr:col>
      <xdr:colOff>1371600</xdr:colOff>
      <xdr:row>115</xdr:row>
      <xdr:rowOff>38100</xdr:rowOff>
    </xdr:to>
    <xdr:graphicFrame macro="">
      <xdr:nvGraphicFramePr>
        <xdr:cNvPr id="20053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117</xdr:row>
      <xdr:rowOff>114300</xdr:rowOff>
    </xdr:from>
    <xdr:to>
      <xdr:col>5</xdr:col>
      <xdr:colOff>1390650</xdr:colOff>
      <xdr:row>144</xdr:row>
      <xdr:rowOff>19050</xdr:rowOff>
    </xdr:to>
    <xdr:graphicFrame macro="">
      <xdr:nvGraphicFramePr>
        <xdr:cNvPr id="20053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5</xdr:col>
      <xdr:colOff>1447800</xdr:colOff>
      <xdr:row>89</xdr:row>
      <xdr:rowOff>0</xdr:rowOff>
    </xdr:to>
    <xdr:graphicFrame macro="">
      <xdr:nvGraphicFramePr>
        <xdr:cNvPr id="200535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9525</xdr:colOff>
      <xdr:row>89</xdr:row>
      <xdr:rowOff>0</xdr:rowOff>
    </xdr:to>
    <xdr:graphicFrame macro="">
      <xdr:nvGraphicFramePr>
        <xdr:cNvPr id="200535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0</xdr:colOff>
      <xdr:row>89</xdr:row>
      <xdr:rowOff>0</xdr:rowOff>
    </xdr:to>
    <xdr:graphicFrame macro="">
      <xdr:nvGraphicFramePr>
        <xdr:cNvPr id="200535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6</xdr:col>
      <xdr:colOff>19050</xdr:colOff>
      <xdr:row>89</xdr:row>
      <xdr:rowOff>0</xdr:rowOff>
    </xdr:to>
    <xdr:graphicFrame macro="">
      <xdr:nvGraphicFramePr>
        <xdr:cNvPr id="200535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24</xdr:row>
      <xdr:rowOff>123825</xdr:rowOff>
    </xdr:from>
    <xdr:to>
      <xdr:col>5</xdr:col>
      <xdr:colOff>1438275</xdr:colOff>
      <xdr:row>44</xdr:row>
      <xdr:rowOff>85725</xdr:rowOff>
    </xdr:to>
    <xdr:graphicFrame macro="">
      <xdr:nvGraphicFramePr>
        <xdr:cNvPr id="200536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62</xdr:row>
      <xdr:rowOff>0</xdr:rowOff>
    </xdr:from>
    <xdr:to>
      <xdr:col>6</xdr:col>
      <xdr:colOff>0</xdr:colOff>
      <xdr:row>90</xdr:row>
      <xdr:rowOff>57150</xdr:rowOff>
    </xdr:to>
    <xdr:graphicFrame macro="">
      <xdr:nvGraphicFramePr>
        <xdr:cNvPr id="200536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abSelected="1" zoomScale="115" zoomScaleNormal="115" workbookViewId="0">
      <selection activeCell="A60" sqref="A60:B60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1.25" style="2" customWidth="1"/>
    <col min="12" max="12" width="14.875" style="2" customWidth="1"/>
    <col min="13" max="13" width="10.25" style="2" customWidth="1"/>
    <col min="14" max="14" width="14" style="2" bestFit="1" customWidth="1"/>
    <col min="15" max="15" width="12" style="2" customWidth="1"/>
    <col min="16" max="16" width="10.25" style="2" customWidth="1"/>
    <col min="17" max="17" width="11.5" style="2" customWidth="1"/>
    <col min="18" max="18" width="11.125" style="2" bestFit="1" customWidth="1"/>
    <col min="19" max="19" width="15" style="2" customWidth="1"/>
    <col min="20" max="20" width="11.875" style="2" customWidth="1"/>
    <col min="21" max="21" width="12.5" style="2" bestFit="1" customWidth="1"/>
    <col min="22" max="22" width="12.5" style="2" customWidth="1"/>
    <col min="23" max="23" width="12.5" style="2" bestFit="1" customWidth="1"/>
    <col min="24" max="24" width="11.125" style="2" bestFit="1" customWidth="1"/>
    <col min="25" max="26" width="12.625" style="2" customWidth="1"/>
    <col min="27" max="27" width="14.75" style="2" customWidth="1"/>
    <col min="28" max="28" width="14.125" style="2" customWidth="1"/>
    <col min="29" max="29" width="12.5" style="2" bestFit="1" customWidth="1"/>
    <col min="30" max="30" width="14" style="2" customWidth="1"/>
    <col min="31" max="31" width="13.375" style="2" customWidth="1"/>
    <col min="32" max="32" width="11.875" style="2" customWidth="1"/>
    <col min="33" max="33" width="12.75" style="2" customWidth="1"/>
    <col min="34" max="34" width="9" style="2"/>
    <col min="35" max="35" width="14.125" style="2" customWidth="1"/>
    <col min="36" max="36" width="9" style="2"/>
    <col min="37" max="37" width="13.5" style="2" customWidth="1"/>
    <col min="38" max="16384" width="9" style="2"/>
  </cols>
  <sheetData>
    <row r="1" spans="1:32" ht="15.95" customHeight="1">
      <c r="E1" s="3"/>
      <c r="F1" s="196" t="s">
        <v>23</v>
      </c>
    </row>
    <row r="2" spans="1:32" ht="15.95" customHeight="1">
      <c r="E2" s="3"/>
      <c r="F2" s="196" t="s">
        <v>56</v>
      </c>
    </row>
    <row r="3" spans="1:32" ht="15.95" customHeight="1">
      <c r="B3" s="202" t="s">
        <v>43</v>
      </c>
      <c r="C3" s="202"/>
      <c r="D3" s="202"/>
      <c r="E3" s="3"/>
      <c r="F3" s="196" t="s">
        <v>57</v>
      </c>
    </row>
    <row r="4" spans="1:32" ht="15.95" customHeight="1">
      <c r="E4" s="3"/>
      <c r="F4" s="196" t="s">
        <v>58</v>
      </c>
    </row>
    <row r="5" spans="1:32" ht="15.95" customHeight="1">
      <c r="E5" s="3"/>
      <c r="F5" s="196" t="s">
        <v>24</v>
      </c>
    </row>
    <row r="6" spans="1:32" ht="16.5">
      <c r="A6" s="4"/>
      <c r="B6" s="4"/>
      <c r="C6" s="4"/>
      <c r="D6" s="5"/>
      <c r="E6" s="5"/>
      <c r="F6" s="197"/>
    </row>
    <row r="7" spans="1:32" ht="15.75">
      <c r="D7" s="3"/>
      <c r="E7" s="3"/>
    </row>
    <row r="8" spans="1:32" ht="19.5" customHeight="1">
      <c r="A8" s="182" t="s">
        <v>225</v>
      </c>
      <c r="B8" s="183" t="s">
        <v>39</v>
      </c>
      <c r="C8" s="183"/>
      <c r="D8" s="183"/>
      <c r="E8" s="183"/>
      <c r="F8" s="183"/>
    </row>
    <row r="9" spans="1:32" ht="19.5" customHeight="1">
      <c r="A9" s="182" t="s">
        <v>226</v>
      </c>
      <c r="B9" s="183" t="s">
        <v>98</v>
      </c>
      <c r="C9" s="183"/>
      <c r="D9" s="183"/>
      <c r="E9" s="183"/>
      <c r="F9" s="183"/>
    </row>
    <row r="10" spans="1:32" ht="19.5" customHeight="1">
      <c r="A10" s="182" t="s">
        <v>227</v>
      </c>
      <c r="B10" s="184">
        <v>41554</v>
      </c>
      <c r="C10" s="183"/>
      <c r="D10" s="183"/>
      <c r="E10" s="183"/>
      <c r="F10" s="183"/>
    </row>
    <row r="11" spans="1:32" ht="19.5" customHeight="1">
      <c r="A11" s="182" t="s">
        <v>228</v>
      </c>
      <c r="B11" s="183" t="s">
        <v>241</v>
      </c>
      <c r="C11" s="183"/>
      <c r="D11" s="183"/>
      <c r="E11" s="183"/>
      <c r="F11" s="183"/>
    </row>
    <row r="12" spans="1:32" ht="15" customHeight="1">
      <c r="A12" s="182"/>
      <c r="B12" s="183"/>
      <c r="C12" s="183"/>
      <c r="D12" s="183"/>
      <c r="E12" s="183"/>
      <c r="F12" s="183"/>
    </row>
    <row r="13" spans="1:32" ht="9" customHeight="1">
      <c r="A13" s="203"/>
      <c r="B13" s="203"/>
      <c r="C13" s="203"/>
      <c r="D13" s="203"/>
      <c r="E13" s="203"/>
      <c r="F13" s="203"/>
    </row>
    <row r="14" spans="1:32" ht="18.75" customHeight="1">
      <c r="A14" s="204" t="s">
        <v>29</v>
      </c>
      <c r="B14" s="204"/>
      <c r="C14" s="204"/>
      <c r="D14" s="204"/>
      <c r="E14" s="204"/>
      <c r="F14" s="204"/>
    </row>
    <row r="15" spans="1:32" ht="9" customHeight="1">
      <c r="A15" s="183"/>
      <c r="B15" s="183"/>
      <c r="C15" s="183"/>
      <c r="D15" s="183"/>
      <c r="E15" s="183"/>
      <c r="F15" s="183"/>
      <c r="N15" s="134"/>
      <c r="O15" s="134"/>
      <c r="P15" s="134"/>
      <c r="Q15" s="134"/>
    </row>
    <row r="16" spans="1:32" ht="39">
      <c r="A16" s="205"/>
      <c r="B16" s="205"/>
      <c r="C16" s="185" t="s">
        <v>221</v>
      </c>
      <c r="D16" s="185" t="s">
        <v>244</v>
      </c>
      <c r="E16" s="185" t="s">
        <v>25</v>
      </c>
      <c r="F16" s="185" t="s">
        <v>242</v>
      </c>
      <c r="G16" s="10">
        <v>1</v>
      </c>
      <c r="H16" s="2" t="s">
        <v>44</v>
      </c>
      <c r="I16" s="10">
        <v>1</v>
      </c>
      <c r="K16" s="9" t="s">
        <v>221</v>
      </c>
      <c r="L16" s="9" t="s">
        <v>220</v>
      </c>
      <c r="M16" s="9">
        <v>2013</v>
      </c>
      <c r="N16" s="9" t="s">
        <v>183</v>
      </c>
      <c r="O16" s="9" t="s">
        <v>184</v>
      </c>
      <c r="P16" s="9">
        <v>2012</v>
      </c>
      <c r="Q16" s="9" t="s">
        <v>143</v>
      </c>
      <c r="R16" s="9" t="s">
        <v>212</v>
      </c>
      <c r="S16" s="9" t="s">
        <v>187</v>
      </c>
      <c r="T16" s="9">
        <v>2011</v>
      </c>
      <c r="U16" s="9" t="s">
        <v>99</v>
      </c>
      <c r="V16" s="9" t="s">
        <v>213</v>
      </c>
      <c r="W16" s="9" t="s">
        <v>142</v>
      </c>
      <c r="X16" s="9">
        <v>2010</v>
      </c>
      <c r="Y16" s="9" t="s">
        <v>1</v>
      </c>
      <c r="Z16" s="9" t="s">
        <v>133</v>
      </c>
      <c r="AA16" s="9" t="s">
        <v>113</v>
      </c>
      <c r="AB16" s="9">
        <v>2009</v>
      </c>
      <c r="AC16" s="9"/>
      <c r="AD16" s="9"/>
      <c r="AE16" s="9"/>
      <c r="AF16" s="9"/>
    </row>
    <row r="17" spans="1:32" ht="15.75" customHeight="1">
      <c r="A17" s="201" t="s">
        <v>26</v>
      </c>
      <c r="B17" s="201"/>
      <c r="C17" s="186">
        <f>K17</f>
        <v>127714748</v>
      </c>
      <c r="D17" s="186">
        <f>L17</f>
        <v>129109429</v>
      </c>
      <c r="E17" s="187">
        <f t="shared" ref="E17:E24" si="0">(D17/C17)</f>
        <v>1.010920281501084</v>
      </c>
      <c r="F17" s="188">
        <f t="shared" ref="F17:F23" si="1">D17-G17</f>
        <v>1394681</v>
      </c>
      <c r="G17" s="14">
        <f>C17*1</f>
        <v>127714748</v>
      </c>
      <c r="H17" s="27">
        <v>0</v>
      </c>
      <c r="I17" s="10">
        <v>1</v>
      </c>
      <c r="J17" s="21" t="str">
        <f>A17</f>
        <v>Current / Delinquent Taxes</v>
      </c>
      <c r="K17" s="176">
        <v>127714748</v>
      </c>
      <c r="L17" s="176">
        <v>129109429</v>
      </c>
      <c r="M17" s="178">
        <f>L17/K17</f>
        <v>1.010920281501084</v>
      </c>
      <c r="N17" s="165">
        <v>124011587</v>
      </c>
      <c r="O17" s="165">
        <v>125475095</v>
      </c>
      <c r="P17" s="171">
        <v>1.0077999243731959</v>
      </c>
      <c r="Q17" s="161">
        <v>130863490</v>
      </c>
      <c r="R17" s="161">
        <v>130891250</v>
      </c>
      <c r="S17" s="161"/>
      <c r="T17" s="12">
        <v>0.99204730497922822</v>
      </c>
      <c r="U17" s="11">
        <v>130450730</v>
      </c>
      <c r="V17" s="11">
        <v>129998044.09</v>
      </c>
      <c r="W17" s="166"/>
      <c r="X17" s="12">
        <v>0.99367755149214021</v>
      </c>
      <c r="Y17" s="11">
        <v>119221816</v>
      </c>
      <c r="Z17" s="11">
        <v>119765132.67000002</v>
      </c>
      <c r="AA17" s="11"/>
      <c r="AB17" s="12">
        <v>0.98782278418745428</v>
      </c>
      <c r="AC17" s="11"/>
      <c r="AD17" s="11"/>
      <c r="AE17" s="11"/>
      <c r="AF17" s="12"/>
    </row>
    <row r="18" spans="1:32" ht="15.75" customHeight="1">
      <c r="A18" s="201" t="s">
        <v>102</v>
      </c>
      <c r="B18" s="201"/>
      <c r="C18" s="189">
        <f t="shared" ref="C18:D23" si="2">K18</f>
        <v>279000</v>
      </c>
      <c r="D18" s="189">
        <f t="shared" si="2"/>
        <v>378671</v>
      </c>
      <c r="E18" s="187">
        <f>(D18/C18)</f>
        <v>1.3572437275985663</v>
      </c>
      <c r="F18" s="189">
        <f>D18-G18</f>
        <v>99671</v>
      </c>
      <c r="G18" s="14">
        <f t="shared" ref="G18:G24" si="3">C18*1</f>
        <v>279000</v>
      </c>
      <c r="H18" s="27">
        <v>0</v>
      </c>
      <c r="I18" s="10">
        <v>1</v>
      </c>
      <c r="J18" s="21" t="str">
        <f t="shared" ref="J18:J23" si="4">A18</f>
        <v>License / Permits</v>
      </c>
      <c r="K18" s="176">
        <v>279000</v>
      </c>
      <c r="L18" s="176">
        <f>4775+373896</f>
        <v>378671</v>
      </c>
      <c r="M18" s="178">
        <f t="shared" ref="M18:M24" si="5">L18/K18</f>
        <v>1.3572437275985663</v>
      </c>
      <c r="N18" s="165">
        <v>4000</v>
      </c>
      <c r="O18" s="165">
        <v>4500</v>
      </c>
      <c r="P18" s="171">
        <v>0.875</v>
      </c>
      <c r="Q18" s="161">
        <v>4000</v>
      </c>
      <c r="R18" s="161">
        <v>6000</v>
      </c>
      <c r="S18" s="161"/>
      <c r="T18" s="12">
        <v>0.91666666666666663</v>
      </c>
      <c r="U18" s="16">
        <v>4000</v>
      </c>
      <c r="V18" s="28">
        <v>2500</v>
      </c>
      <c r="W18" s="165"/>
      <c r="X18" s="12">
        <v>1</v>
      </c>
      <c r="Y18" s="28">
        <v>4000</v>
      </c>
      <c r="Z18" s="28">
        <v>4000</v>
      </c>
      <c r="AA18" s="28"/>
      <c r="AB18" s="12">
        <v>0.875</v>
      </c>
      <c r="AC18" s="28"/>
      <c r="AD18" s="28"/>
      <c r="AE18" s="28"/>
      <c r="AF18" s="12"/>
    </row>
    <row r="19" spans="1:32" ht="15.75" customHeight="1">
      <c r="A19" s="201" t="s">
        <v>55</v>
      </c>
      <c r="B19" s="201"/>
      <c r="C19" s="189">
        <f t="shared" si="2"/>
        <v>3825422</v>
      </c>
      <c r="D19" s="189">
        <f t="shared" si="2"/>
        <v>4162983</v>
      </c>
      <c r="E19" s="187">
        <f t="shared" si="0"/>
        <v>1.0882415064272648</v>
      </c>
      <c r="F19" s="189">
        <f t="shared" si="1"/>
        <v>337561</v>
      </c>
      <c r="G19" s="14">
        <f t="shared" si="3"/>
        <v>3825422</v>
      </c>
      <c r="H19" s="27">
        <v>0</v>
      </c>
      <c r="I19" s="10">
        <v>1</v>
      </c>
      <c r="J19" s="21" t="str">
        <f t="shared" si="4"/>
        <v>Intergovernmental Revenue</v>
      </c>
      <c r="K19" s="176">
        <v>3825422</v>
      </c>
      <c r="L19" s="176">
        <f>29000+615084+90041+1620876+1807982</f>
        <v>4162983</v>
      </c>
      <c r="M19" s="178">
        <f t="shared" si="5"/>
        <v>1.0882415064272648</v>
      </c>
      <c r="N19" s="165">
        <v>3186800</v>
      </c>
      <c r="O19" s="165">
        <v>3821606</v>
      </c>
      <c r="P19" s="171">
        <v>0.95645820258566583</v>
      </c>
      <c r="Q19" s="161">
        <v>3312377</v>
      </c>
      <c r="R19" s="161">
        <v>3350379</v>
      </c>
      <c r="S19" s="161"/>
      <c r="T19" s="12">
        <v>0.73000432950868566</v>
      </c>
      <c r="U19" s="16">
        <v>3547135</v>
      </c>
      <c r="V19" s="28">
        <v>3244665.99</v>
      </c>
      <c r="W19" s="165"/>
      <c r="X19" s="12">
        <v>0.60212515983714143</v>
      </c>
      <c r="Y19" s="28">
        <v>3678780</v>
      </c>
      <c r="Z19" s="28">
        <v>3987047.8600000003</v>
      </c>
      <c r="AA19" s="28"/>
      <c r="AB19" s="12">
        <v>0.55877596607035307</v>
      </c>
      <c r="AC19" s="28"/>
      <c r="AD19" s="28"/>
      <c r="AE19" s="28"/>
      <c r="AF19" s="12"/>
    </row>
    <row r="20" spans="1:32" ht="15.75" customHeight="1">
      <c r="A20" s="201" t="s">
        <v>2</v>
      </c>
      <c r="B20" s="201"/>
      <c r="C20" s="189">
        <f t="shared" si="2"/>
        <v>18262850</v>
      </c>
      <c r="D20" s="189">
        <f t="shared" si="2"/>
        <v>18191653</v>
      </c>
      <c r="E20" s="187">
        <f t="shared" si="0"/>
        <v>0.99610153946399382</v>
      </c>
      <c r="F20" s="189">
        <f t="shared" si="1"/>
        <v>-71197</v>
      </c>
      <c r="G20" s="14">
        <f t="shared" si="3"/>
        <v>18262850</v>
      </c>
      <c r="H20" s="27">
        <f t="shared" ref="H17:H23" si="6">C20-D20</f>
        <v>71197</v>
      </c>
      <c r="I20" s="10">
        <v>1</v>
      </c>
      <c r="J20" s="21" t="str">
        <f t="shared" si="4"/>
        <v>Fees/Charges for Services</v>
      </c>
      <c r="K20" s="176">
        <v>18262850</v>
      </c>
      <c r="L20" s="176">
        <f>5665213+4936291+7018358+27300+544491</f>
        <v>18191653</v>
      </c>
      <c r="M20" s="178">
        <f t="shared" si="5"/>
        <v>0.99610153946399382</v>
      </c>
      <c r="N20" s="165">
        <v>16144661</v>
      </c>
      <c r="O20" s="165">
        <v>17135252</v>
      </c>
      <c r="P20" s="171">
        <v>0.80213768502169236</v>
      </c>
      <c r="Q20" s="161">
        <v>15205012</v>
      </c>
      <c r="R20" s="161">
        <v>15709446</v>
      </c>
      <c r="S20" s="161"/>
      <c r="T20" s="12">
        <v>0.73429379743808099</v>
      </c>
      <c r="U20" s="16">
        <v>16957104</v>
      </c>
      <c r="V20" s="28">
        <v>14961200.730000002</v>
      </c>
      <c r="W20" s="165"/>
      <c r="X20" s="12">
        <v>0.73913405491261974</v>
      </c>
      <c r="Y20" s="28">
        <v>19143500</v>
      </c>
      <c r="Z20" s="28">
        <v>15551032.399999999</v>
      </c>
      <c r="AA20" s="28"/>
      <c r="AB20" s="12">
        <v>0.72013515453758148</v>
      </c>
      <c r="AC20" s="28"/>
      <c r="AD20" s="28"/>
      <c r="AE20" s="28"/>
      <c r="AF20" s="12"/>
    </row>
    <row r="21" spans="1:32" ht="15.75" customHeight="1">
      <c r="A21" s="201" t="s">
        <v>4</v>
      </c>
      <c r="B21" s="201"/>
      <c r="C21" s="189">
        <f t="shared" si="2"/>
        <v>1962155</v>
      </c>
      <c r="D21" s="189">
        <f t="shared" si="2"/>
        <v>2123859</v>
      </c>
      <c r="E21" s="187">
        <f t="shared" si="0"/>
        <v>1.0824114302896559</v>
      </c>
      <c r="F21" s="189">
        <f t="shared" si="1"/>
        <v>161704</v>
      </c>
      <c r="G21" s="14">
        <f t="shared" si="3"/>
        <v>1962155</v>
      </c>
      <c r="H21" s="27">
        <v>0</v>
      </c>
      <c r="I21" s="10">
        <v>1</v>
      </c>
      <c r="J21" s="21" t="str">
        <f t="shared" si="4"/>
        <v>Fines</v>
      </c>
      <c r="K21" s="176">
        <v>1962155</v>
      </c>
      <c r="L21" s="176">
        <v>2123859</v>
      </c>
      <c r="M21" s="178">
        <f t="shared" si="5"/>
        <v>1.0824114302896559</v>
      </c>
      <c r="N21" s="165">
        <v>1881000</v>
      </c>
      <c r="O21" s="165">
        <v>2191532</v>
      </c>
      <c r="P21" s="171">
        <v>0.83187666135034555</v>
      </c>
      <c r="Q21" s="161">
        <v>1748000</v>
      </c>
      <c r="R21" s="161">
        <v>1989665</v>
      </c>
      <c r="S21" s="161"/>
      <c r="T21" s="12">
        <v>0.71409831326897411</v>
      </c>
      <c r="U21" s="16">
        <v>2301020</v>
      </c>
      <c r="V21" s="28">
        <v>1794927.36</v>
      </c>
      <c r="W21" s="165"/>
      <c r="X21" s="12">
        <v>0.72115154346726862</v>
      </c>
      <c r="Y21" s="28">
        <v>2771000</v>
      </c>
      <c r="Z21" s="28">
        <v>2231421.4900000002</v>
      </c>
      <c r="AA21" s="28"/>
      <c r="AB21" s="12">
        <v>0.75389423662365773</v>
      </c>
      <c r="AC21" s="28"/>
      <c r="AD21" s="28"/>
      <c r="AE21" s="28"/>
      <c r="AF21" s="12"/>
    </row>
    <row r="22" spans="1:32" ht="15.75" customHeight="1">
      <c r="A22" s="201" t="s">
        <v>3</v>
      </c>
      <c r="B22" s="201"/>
      <c r="C22" s="189">
        <f t="shared" si="2"/>
        <v>1536481</v>
      </c>
      <c r="D22" s="189">
        <f t="shared" si="2"/>
        <v>733535</v>
      </c>
      <c r="E22" s="187">
        <f t="shared" si="0"/>
        <v>0.47741234678463318</v>
      </c>
      <c r="F22" s="189">
        <f t="shared" si="1"/>
        <v>-802946</v>
      </c>
      <c r="G22" s="14">
        <f t="shared" si="3"/>
        <v>1536481</v>
      </c>
      <c r="H22" s="27">
        <f t="shared" si="6"/>
        <v>802946</v>
      </c>
      <c r="I22" s="10">
        <v>1</v>
      </c>
      <c r="J22" s="21" t="str">
        <f t="shared" si="4"/>
        <v>Investment Revenue</v>
      </c>
      <c r="K22" s="176">
        <v>1536481</v>
      </c>
      <c r="L22" s="176">
        <f>479105+254430</f>
        <v>733535</v>
      </c>
      <c r="M22" s="178">
        <f t="shared" si="5"/>
        <v>0.47741234678463318</v>
      </c>
      <c r="N22" s="165">
        <v>2019600</v>
      </c>
      <c r="O22" s="165">
        <v>1193321</v>
      </c>
      <c r="P22" s="171">
        <v>0.35443602693602694</v>
      </c>
      <c r="Q22" s="161">
        <v>1119600</v>
      </c>
      <c r="R22" s="161">
        <v>1750128</v>
      </c>
      <c r="S22" s="161"/>
      <c r="T22" s="12">
        <v>0.66805300565677284</v>
      </c>
      <c r="U22" s="16">
        <v>3133290</v>
      </c>
      <c r="V22" s="28">
        <v>2178097.27</v>
      </c>
      <c r="W22" s="165"/>
      <c r="X22" s="12">
        <v>0.69082899805454123</v>
      </c>
      <c r="Y22" s="28">
        <v>5168400</v>
      </c>
      <c r="Z22" s="28">
        <v>3037572.64</v>
      </c>
      <c r="AA22" s="28"/>
      <c r="AB22" s="12">
        <v>0.72340580418383327</v>
      </c>
      <c r="AC22" s="28"/>
      <c r="AD22" s="28"/>
      <c r="AE22" s="28"/>
      <c r="AF22" s="12"/>
    </row>
    <row r="23" spans="1:32" ht="15.75" customHeight="1" thickBot="1">
      <c r="A23" s="201" t="s">
        <v>27</v>
      </c>
      <c r="B23" s="201"/>
      <c r="C23" s="189">
        <f t="shared" si="2"/>
        <v>526000</v>
      </c>
      <c r="D23" s="189">
        <f t="shared" si="2"/>
        <v>2881528</v>
      </c>
      <c r="E23" s="187">
        <f t="shared" si="0"/>
        <v>5.4781901140684415</v>
      </c>
      <c r="F23" s="189">
        <f t="shared" si="1"/>
        <v>2355528</v>
      </c>
      <c r="G23" s="14">
        <f t="shared" si="3"/>
        <v>526000</v>
      </c>
      <c r="H23" s="27">
        <v>0</v>
      </c>
      <c r="I23" s="10">
        <v>1</v>
      </c>
      <c r="J23" s="21" t="str">
        <f t="shared" si="4"/>
        <v>Miscellaneous</v>
      </c>
      <c r="K23" s="177">
        <v>526000</v>
      </c>
      <c r="L23" s="177">
        <f>3598+1222926+1591894+63110</f>
        <v>2881528</v>
      </c>
      <c r="M23" s="179">
        <f t="shared" si="5"/>
        <v>5.4781901140684415</v>
      </c>
      <c r="N23" s="167">
        <v>547000</v>
      </c>
      <c r="O23" s="167">
        <v>895607</v>
      </c>
      <c r="P23" s="174">
        <v>0.95835100548446073</v>
      </c>
      <c r="Q23" s="162">
        <v>463840</v>
      </c>
      <c r="R23" s="162">
        <v>732982</v>
      </c>
      <c r="S23" s="162"/>
      <c r="T23" s="152">
        <v>0.78505484472685205</v>
      </c>
      <c r="U23" s="117">
        <v>564135</v>
      </c>
      <c r="V23" s="118">
        <v>621292.79</v>
      </c>
      <c r="W23" s="167"/>
      <c r="X23" s="152">
        <v>0.63968330775844373</v>
      </c>
      <c r="Y23" s="118">
        <v>499810</v>
      </c>
      <c r="Z23" s="118">
        <v>831308.46</v>
      </c>
      <c r="AA23" s="118"/>
      <c r="AB23" s="152">
        <v>0.43335973855177928</v>
      </c>
      <c r="AC23" s="118"/>
      <c r="AD23" s="118"/>
      <c r="AE23" s="118"/>
      <c r="AF23" s="152"/>
    </row>
    <row r="24" spans="1:32" ht="15.75" customHeight="1" thickBot="1">
      <c r="A24" s="208" t="s">
        <v>28</v>
      </c>
      <c r="B24" s="208"/>
      <c r="C24" s="186">
        <f>SUM(C17:C23)</f>
        <v>154106656</v>
      </c>
      <c r="D24" s="186">
        <f>SUM(D17:D23)</f>
        <v>157581658</v>
      </c>
      <c r="E24" s="187">
        <f t="shared" si="0"/>
        <v>1.0225493310295435</v>
      </c>
      <c r="F24" s="190">
        <f>SUM(F17:F23)</f>
        <v>3475002</v>
      </c>
      <c r="G24" s="14">
        <f t="shared" si="3"/>
        <v>154106656</v>
      </c>
      <c r="H24" s="27"/>
      <c r="J24" s="21"/>
      <c r="K24" s="172">
        <f>SUM(K17:K23)</f>
        <v>154106656</v>
      </c>
      <c r="L24" s="172">
        <f>SUM(L17:L23)</f>
        <v>157581658</v>
      </c>
      <c r="M24" s="180">
        <f t="shared" si="5"/>
        <v>1.0225493310295435</v>
      </c>
      <c r="N24" s="172">
        <v>147794648</v>
      </c>
      <c r="O24" s="172">
        <f>SUM(O17:O23)</f>
        <v>150716913</v>
      </c>
      <c r="P24" s="173">
        <v>0.97287316520419598</v>
      </c>
      <c r="Q24" s="164">
        <v>152716319</v>
      </c>
      <c r="R24" s="172">
        <f>SUM(R17:R23)</f>
        <v>154429850</v>
      </c>
      <c r="S24" s="160"/>
      <c r="T24" s="153">
        <v>0.95139334890602101</v>
      </c>
      <c r="U24" s="116">
        <v>156957414</v>
      </c>
      <c r="V24" s="172">
        <f>SUM(V17:V23)</f>
        <v>152800728.23000002</v>
      </c>
      <c r="W24" s="116"/>
      <c r="X24" s="153">
        <v>0.94928686887080027</v>
      </c>
      <c r="Y24" s="116">
        <v>150487306</v>
      </c>
      <c r="Z24" s="172">
        <f>SUM(Z17:Z23)</f>
        <v>145407515.52000001</v>
      </c>
      <c r="AA24" s="116"/>
      <c r="AB24" s="153">
        <v>0.93339790428560632</v>
      </c>
      <c r="AC24" s="116"/>
      <c r="AD24" s="116"/>
      <c r="AE24" s="116"/>
      <c r="AF24" s="153"/>
    </row>
    <row r="25" spans="1:32" ht="22.5" customHeight="1" thickTop="1">
      <c r="A25" s="183"/>
      <c r="B25" s="183"/>
      <c r="C25" s="183"/>
      <c r="D25" s="183"/>
      <c r="E25" s="183"/>
      <c r="F25" s="183"/>
      <c r="J25" s="21"/>
      <c r="K25" s="21"/>
      <c r="L25" s="21"/>
      <c r="M25" s="21"/>
      <c r="N25" s="26"/>
    </row>
    <row r="26" spans="1:32" ht="15.75">
      <c r="A26" s="183"/>
      <c r="B26" s="183"/>
      <c r="C26" s="183"/>
      <c r="D26" s="183"/>
      <c r="E26" s="183"/>
      <c r="F26" s="183"/>
      <c r="J26" s="21"/>
      <c r="K26" s="21"/>
      <c r="L26" s="21"/>
      <c r="M26" s="21"/>
      <c r="N26" s="26"/>
    </row>
    <row r="27" spans="1:32" ht="15.75">
      <c r="A27" s="183"/>
      <c r="B27" s="183"/>
      <c r="C27" s="183"/>
      <c r="D27" s="183"/>
      <c r="E27" s="183"/>
      <c r="F27" s="183"/>
    </row>
    <row r="28" spans="1:32" ht="15.75">
      <c r="A28" s="183"/>
      <c r="B28" s="183"/>
      <c r="C28" s="183"/>
      <c r="D28" s="183"/>
      <c r="E28" s="183"/>
      <c r="F28" s="183"/>
    </row>
    <row r="29" spans="1:32" ht="15.75">
      <c r="A29" s="183"/>
      <c r="B29" s="183"/>
      <c r="C29" s="183"/>
      <c r="D29" s="183"/>
      <c r="E29" s="183"/>
      <c r="F29" s="183"/>
    </row>
    <row r="30" spans="1:32" ht="15.75">
      <c r="A30" s="183"/>
      <c r="B30" s="183"/>
      <c r="C30" s="183"/>
      <c r="D30" s="183"/>
      <c r="E30" s="183"/>
      <c r="F30" s="183"/>
    </row>
    <row r="31" spans="1:32" ht="15.75">
      <c r="A31" s="183"/>
      <c r="B31" s="183"/>
      <c r="C31" s="183"/>
      <c r="D31" s="183"/>
      <c r="E31" s="183"/>
      <c r="F31" s="183"/>
      <c r="H31" s="15"/>
    </row>
    <row r="32" spans="1:32" ht="15.75">
      <c r="A32" s="183"/>
      <c r="B32" s="183"/>
      <c r="C32" s="183"/>
      <c r="D32" s="183"/>
      <c r="E32" s="183"/>
      <c r="F32" s="183"/>
      <c r="H32" s="14"/>
    </row>
    <row r="33" spans="1:37" ht="15.75">
      <c r="A33" s="183"/>
      <c r="B33" s="183"/>
      <c r="C33" s="183"/>
      <c r="D33" s="183"/>
      <c r="E33" s="183"/>
      <c r="F33" s="183"/>
    </row>
    <row r="34" spans="1:37" ht="15.75">
      <c r="A34" s="183"/>
      <c r="B34" s="183"/>
      <c r="C34" s="183"/>
      <c r="D34" s="183"/>
      <c r="E34" s="183"/>
      <c r="F34" s="183"/>
    </row>
    <row r="35" spans="1:37" ht="15.75">
      <c r="A35" s="183"/>
      <c r="B35" s="183"/>
      <c r="C35" s="183"/>
      <c r="D35" s="183"/>
      <c r="E35" s="183"/>
      <c r="F35" s="183"/>
    </row>
    <row r="36" spans="1:37" ht="15.75">
      <c r="A36" s="183"/>
      <c r="B36" s="183"/>
      <c r="C36" s="183"/>
      <c r="D36" s="183"/>
      <c r="E36" s="183"/>
      <c r="F36" s="183"/>
    </row>
    <row r="37" spans="1:37" ht="15.75">
      <c r="A37" s="183"/>
      <c r="B37" s="183"/>
      <c r="C37" s="183"/>
      <c r="D37" s="183"/>
      <c r="E37" s="183"/>
      <c r="F37" s="183"/>
    </row>
    <row r="38" spans="1:37" ht="15.75">
      <c r="A38" s="183"/>
      <c r="B38" s="183"/>
      <c r="C38" s="183"/>
      <c r="D38" s="183"/>
      <c r="E38" s="183"/>
      <c r="F38" s="183"/>
    </row>
    <row r="39" spans="1:37" ht="15.75">
      <c r="A39" s="183"/>
      <c r="B39" s="183"/>
      <c r="C39" s="183"/>
      <c r="D39" s="183"/>
      <c r="E39" s="183"/>
      <c r="F39" s="183"/>
    </row>
    <row r="40" spans="1:37" ht="15.75">
      <c r="A40" s="183"/>
      <c r="B40" s="183"/>
      <c r="C40" s="183"/>
      <c r="D40" s="183"/>
      <c r="E40" s="183"/>
      <c r="F40" s="183"/>
      <c r="J40" s="135"/>
      <c r="K40" s="135"/>
      <c r="L40" s="135"/>
      <c r="M40" s="135"/>
      <c r="N40" s="135"/>
    </row>
    <row r="41" spans="1:37" ht="15.75">
      <c r="A41" s="183"/>
      <c r="B41" s="183"/>
      <c r="C41" s="183"/>
      <c r="D41" s="183"/>
      <c r="E41" s="183"/>
      <c r="F41" s="183"/>
      <c r="J41" s="135"/>
      <c r="K41" s="135"/>
      <c r="L41" s="135"/>
      <c r="M41" s="135"/>
      <c r="N41" s="135"/>
    </row>
    <row r="42" spans="1:37" ht="15.75">
      <c r="A42" s="183"/>
      <c r="B42" s="183"/>
      <c r="C42" s="183"/>
      <c r="D42" s="183"/>
      <c r="E42" s="183"/>
      <c r="F42" s="183"/>
      <c r="J42" s="135"/>
      <c r="K42" s="135"/>
      <c r="L42" s="135"/>
      <c r="M42" s="135"/>
      <c r="N42" s="135"/>
    </row>
    <row r="43" spans="1:37" ht="15.75">
      <c r="A43" s="183"/>
      <c r="B43" s="183"/>
      <c r="C43" s="183"/>
      <c r="D43" s="183"/>
      <c r="E43" s="183"/>
      <c r="F43" s="183"/>
      <c r="J43" s="135"/>
      <c r="K43" s="135"/>
      <c r="L43" s="135"/>
      <c r="M43" s="135"/>
      <c r="N43" s="135"/>
    </row>
    <row r="44" spans="1:37" ht="15.75">
      <c r="A44" s="183"/>
      <c r="B44" s="183"/>
      <c r="C44" s="183"/>
      <c r="D44" s="183"/>
      <c r="E44" s="183"/>
      <c r="F44" s="183"/>
      <c r="J44" s="135"/>
      <c r="K44" s="135"/>
      <c r="L44" s="135"/>
      <c r="M44" s="135"/>
      <c r="N44" s="135"/>
    </row>
    <row r="45" spans="1:37" ht="15.75">
      <c r="A45" s="183"/>
      <c r="B45" s="183"/>
      <c r="C45" s="183"/>
      <c r="D45" s="183"/>
      <c r="E45" s="183"/>
      <c r="F45" s="183"/>
      <c r="J45" s="135"/>
      <c r="K45" s="135"/>
      <c r="L45" s="135"/>
      <c r="M45" s="135"/>
      <c r="N45" s="135"/>
    </row>
    <row r="46" spans="1:37" ht="33" customHeight="1">
      <c r="A46" s="204" t="s">
        <v>37</v>
      </c>
      <c r="B46" s="204"/>
      <c r="C46" s="204"/>
      <c r="D46" s="204"/>
      <c r="E46" s="204"/>
      <c r="F46" s="204"/>
      <c r="J46" s="135"/>
      <c r="K46" s="135"/>
      <c r="L46" s="135"/>
      <c r="M46" s="135"/>
      <c r="N46" s="135"/>
    </row>
    <row r="47" spans="1:37" ht="12" customHeight="1">
      <c r="A47" s="183"/>
      <c r="B47" s="181"/>
      <c r="C47" s="181"/>
      <c r="D47" s="181"/>
      <c r="E47" s="181"/>
      <c r="F47" s="183"/>
      <c r="J47" s="135"/>
      <c r="K47" s="135"/>
      <c r="L47" s="135"/>
      <c r="M47" s="135"/>
      <c r="N47" s="135"/>
    </row>
    <row r="48" spans="1:37" ht="36" customHeight="1">
      <c r="A48" s="209"/>
      <c r="B48" s="209"/>
      <c r="C48" s="200" t="s">
        <v>221</v>
      </c>
      <c r="D48" s="200" t="s">
        <v>245</v>
      </c>
      <c r="E48" s="200" t="s">
        <v>25</v>
      </c>
      <c r="F48" s="185" t="s">
        <v>242</v>
      </c>
      <c r="G48" s="10">
        <v>1</v>
      </c>
      <c r="H48" s="2" t="s">
        <v>45</v>
      </c>
      <c r="K48" s="154" t="s">
        <v>221</v>
      </c>
      <c r="L48" s="150" t="s">
        <v>243</v>
      </c>
      <c r="M48" s="151">
        <v>2013</v>
      </c>
      <c r="N48" s="154" t="s">
        <v>183</v>
      </c>
      <c r="O48" s="150" t="s">
        <v>214</v>
      </c>
      <c r="P48" s="151">
        <v>2012</v>
      </c>
      <c r="Q48" s="150" t="s">
        <v>189</v>
      </c>
      <c r="R48" s="154" t="s">
        <v>143</v>
      </c>
      <c r="S48" s="150" t="s">
        <v>215</v>
      </c>
      <c r="T48" s="151">
        <v>2011</v>
      </c>
      <c r="U48" s="150" t="s">
        <v>147</v>
      </c>
      <c r="V48" s="154" t="s">
        <v>99</v>
      </c>
      <c r="W48" s="150" t="s">
        <v>216</v>
      </c>
      <c r="X48" s="151">
        <v>2010</v>
      </c>
      <c r="Y48" s="150" t="s">
        <v>116</v>
      </c>
      <c r="Z48" s="150" t="s">
        <v>1</v>
      </c>
      <c r="AA48" s="150" t="s">
        <v>135</v>
      </c>
      <c r="AB48" s="151">
        <v>2009</v>
      </c>
      <c r="AC48" s="150" t="s">
        <v>118</v>
      </c>
      <c r="AD48" s="150">
        <v>2009</v>
      </c>
      <c r="AE48" s="150" t="s">
        <v>119</v>
      </c>
      <c r="AF48" s="150"/>
      <c r="AG48" s="150"/>
      <c r="AH48" s="151"/>
      <c r="AI48" s="150"/>
      <c r="AJ48" s="150"/>
      <c r="AK48" s="150"/>
    </row>
    <row r="49" spans="1:37" ht="15.75" customHeight="1">
      <c r="A49" s="206" t="s">
        <v>30</v>
      </c>
      <c r="B49" s="207"/>
      <c r="C49" s="186">
        <f>K49</f>
        <v>262787</v>
      </c>
      <c r="D49" s="186">
        <f>L49</f>
        <v>233489</v>
      </c>
      <c r="E49" s="187">
        <f t="shared" ref="E49:E60" si="7">(D49/C49)</f>
        <v>0.88851046665169886</v>
      </c>
      <c r="F49" s="186">
        <f>+G49-D49</f>
        <v>29298</v>
      </c>
      <c r="G49" s="23">
        <f>C49*1</f>
        <v>262787</v>
      </c>
      <c r="H49" s="24">
        <f t="shared" ref="H49:H57" si="8">C49-D49</f>
        <v>29298</v>
      </c>
      <c r="I49" s="1">
        <v>1</v>
      </c>
      <c r="J49" s="135" t="s">
        <v>30</v>
      </c>
      <c r="K49" s="13">
        <v>262787</v>
      </c>
      <c r="L49" s="13">
        <v>233489</v>
      </c>
      <c r="M49" s="155">
        <f t="shared" ref="M49:M60" si="9">(L49/K49)</f>
        <v>0.88851046665169886</v>
      </c>
      <c r="N49" s="13">
        <v>260248</v>
      </c>
      <c r="O49" s="13">
        <v>236867</v>
      </c>
      <c r="P49" s="155">
        <v>0.69994774215363809</v>
      </c>
      <c r="Q49" s="13"/>
      <c r="R49" s="13">
        <v>315395</v>
      </c>
      <c r="S49" s="13">
        <v>270030</v>
      </c>
      <c r="T49" s="155">
        <v>0.6763708999825615</v>
      </c>
      <c r="U49" s="13"/>
      <c r="V49" s="13">
        <v>302496</v>
      </c>
      <c r="W49" s="13">
        <v>268555.12</v>
      </c>
      <c r="X49" s="155">
        <v>0.66238422987411405</v>
      </c>
      <c r="Y49" s="13"/>
      <c r="Z49" s="13">
        <v>307595</v>
      </c>
      <c r="AA49" s="13">
        <v>277827.39</v>
      </c>
      <c r="AB49" s="155">
        <v>0.61271828215673207</v>
      </c>
      <c r="AC49" s="13"/>
      <c r="AD49" s="155">
        <v>0.41803159999349798</v>
      </c>
      <c r="AE49" s="13"/>
      <c r="AF49" s="13"/>
      <c r="AG49" s="13"/>
      <c r="AH49" s="155"/>
      <c r="AI49" s="13"/>
      <c r="AJ49" s="155"/>
      <c r="AK49" s="13"/>
    </row>
    <row r="50" spans="1:37" ht="15.75" customHeight="1">
      <c r="A50" s="206" t="s">
        <v>123</v>
      </c>
      <c r="B50" s="207"/>
      <c r="C50" s="189">
        <f t="shared" ref="C50:D59" si="10">K50</f>
        <v>868091</v>
      </c>
      <c r="D50" s="189">
        <f t="shared" si="10"/>
        <v>821914</v>
      </c>
      <c r="E50" s="187">
        <f t="shared" si="7"/>
        <v>0.94680626800646472</v>
      </c>
      <c r="F50" s="189">
        <f t="shared" ref="F50:F60" si="11">+G50-D50</f>
        <v>46177</v>
      </c>
      <c r="G50" s="23">
        <f t="shared" ref="G50:G60" si="12">C50*1</f>
        <v>868091</v>
      </c>
      <c r="H50" s="25">
        <f t="shared" si="8"/>
        <v>46177</v>
      </c>
      <c r="I50" s="1">
        <v>1</v>
      </c>
      <c r="J50" s="135" t="s">
        <v>123</v>
      </c>
      <c r="K50" s="156">
        <v>868091</v>
      </c>
      <c r="L50" s="156">
        <v>821914</v>
      </c>
      <c r="M50" s="155">
        <f t="shared" si="9"/>
        <v>0.94680626800646472</v>
      </c>
      <c r="N50" s="156">
        <v>376370</v>
      </c>
      <c r="O50" s="156">
        <v>365557</v>
      </c>
      <c r="P50" s="155">
        <v>0.86576507160506944</v>
      </c>
      <c r="Q50" s="156"/>
      <c r="R50" s="156">
        <v>376370</v>
      </c>
      <c r="S50" s="156">
        <v>367440</v>
      </c>
      <c r="T50" s="155">
        <v>0.86609719159337883</v>
      </c>
      <c r="U50" s="156"/>
      <c r="V50" s="156">
        <v>411370</v>
      </c>
      <c r="W50" s="156">
        <v>423925.69</v>
      </c>
      <c r="X50" s="155">
        <v>0.9313848603447018</v>
      </c>
      <c r="Y50" s="156"/>
      <c r="Z50" s="156">
        <v>510370</v>
      </c>
      <c r="AA50" s="156">
        <v>496194.61</v>
      </c>
      <c r="AB50" s="155">
        <v>0.90166265650410482</v>
      </c>
      <c r="AC50" s="156"/>
      <c r="AD50" s="155">
        <v>0.58496025467607382</v>
      </c>
      <c r="AE50" s="13"/>
      <c r="AF50" s="156"/>
      <c r="AG50" s="156"/>
      <c r="AH50" s="155"/>
      <c r="AI50" s="156"/>
      <c r="AJ50" s="155"/>
      <c r="AK50" s="13"/>
    </row>
    <row r="51" spans="1:37" ht="15.75" customHeight="1">
      <c r="A51" s="206" t="s">
        <v>31</v>
      </c>
      <c r="B51" s="207"/>
      <c r="C51" s="189">
        <f t="shared" si="10"/>
        <v>3847599</v>
      </c>
      <c r="D51" s="189">
        <f t="shared" si="10"/>
        <v>3027446</v>
      </c>
      <c r="E51" s="187">
        <f t="shared" si="7"/>
        <v>0.78684031262093579</v>
      </c>
      <c r="F51" s="189">
        <f t="shared" si="11"/>
        <v>820153</v>
      </c>
      <c r="G51" s="23">
        <f t="shared" si="12"/>
        <v>3847599</v>
      </c>
      <c r="H51" s="25">
        <f t="shared" si="8"/>
        <v>820153</v>
      </c>
      <c r="I51" s="1">
        <v>1</v>
      </c>
      <c r="J51" s="135" t="s">
        <v>31</v>
      </c>
      <c r="K51" s="156">
        <v>3847599</v>
      </c>
      <c r="L51" s="156">
        <v>3027446</v>
      </c>
      <c r="M51" s="155">
        <f t="shared" si="9"/>
        <v>0.78684031262093579</v>
      </c>
      <c r="N51" s="156">
        <v>3539581</v>
      </c>
      <c r="O51" s="156">
        <v>2684971</v>
      </c>
      <c r="P51" s="155">
        <v>0.56812063348740993</v>
      </c>
      <c r="Q51" s="156"/>
      <c r="R51" s="156">
        <v>2892101</v>
      </c>
      <c r="S51" s="156">
        <v>2538909</v>
      </c>
      <c r="T51" s="155">
        <v>0.67461233200361947</v>
      </c>
      <c r="U51" s="156"/>
      <c r="V51" s="156">
        <v>3263326</v>
      </c>
      <c r="W51" s="156">
        <v>2686839.94</v>
      </c>
      <c r="X51" s="155">
        <v>0.67226535749109961</v>
      </c>
      <c r="Y51" s="156"/>
      <c r="Z51" s="156">
        <v>3360551</v>
      </c>
      <c r="AA51" s="156">
        <v>2685580.69</v>
      </c>
      <c r="AB51" s="155">
        <v>0.63368762741586138</v>
      </c>
      <c r="AC51" s="156"/>
      <c r="AD51" s="155">
        <v>0.46567662983352515</v>
      </c>
      <c r="AE51" s="13"/>
      <c r="AF51" s="156"/>
      <c r="AG51" s="156"/>
      <c r="AH51" s="155"/>
      <c r="AI51" s="156"/>
      <c r="AJ51" s="155"/>
      <c r="AK51" s="13"/>
    </row>
    <row r="52" spans="1:37" ht="15.75" customHeight="1">
      <c r="A52" s="206" t="s">
        <v>15</v>
      </c>
      <c r="B52" s="207"/>
      <c r="C52" s="189">
        <f t="shared" si="10"/>
        <v>10587235</v>
      </c>
      <c r="D52" s="189">
        <f t="shared" si="10"/>
        <v>9595695</v>
      </c>
      <c r="E52" s="187">
        <f t="shared" si="7"/>
        <v>0.9063457078264533</v>
      </c>
      <c r="F52" s="189">
        <f t="shared" si="11"/>
        <v>991540</v>
      </c>
      <c r="G52" s="23">
        <f t="shared" si="12"/>
        <v>10587235</v>
      </c>
      <c r="H52" s="25">
        <f t="shared" si="8"/>
        <v>991540</v>
      </c>
      <c r="I52" s="1">
        <v>1</v>
      </c>
      <c r="J52" s="135" t="s">
        <v>15</v>
      </c>
      <c r="K52" s="156">
        <v>10587235</v>
      </c>
      <c r="L52" s="156">
        <v>9595695</v>
      </c>
      <c r="M52" s="155">
        <f t="shared" si="9"/>
        <v>0.9063457078264533</v>
      </c>
      <c r="N52" s="156">
        <v>10245180</v>
      </c>
      <c r="O52" s="156">
        <v>9524685</v>
      </c>
      <c r="P52" s="155">
        <v>0.7182275958060278</v>
      </c>
      <c r="Q52" s="156"/>
      <c r="R52" s="156">
        <v>10586321</v>
      </c>
      <c r="S52" s="156">
        <v>9806126</v>
      </c>
      <c r="T52" s="155">
        <v>0.71069212807735571</v>
      </c>
      <c r="U52" s="156"/>
      <c r="V52" s="156">
        <v>10604579</v>
      </c>
      <c r="W52" s="156">
        <v>9887771.1099999994</v>
      </c>
      <c r="X52" s="155">
        <v>0.7212154428761387</v>
      </c>
      <c r="Y52" s="156"/>
      <c r="Z52" s="156">
        <v>10906229</v>
      </c>
      <c r="AA52" s="156">
        <v>10149261.580000002</v>
      </c>
      <c r="AB52" s="155">
        <v>0.66761999220812263</v>
      </c>
      <c r="AC52" s="156"/>
      <c r="AD52" s="155">
        <v>0.43884863041574423</v>
      </c>
      <c r="AE52" s="13"/>
      <c r="AF52" s="156"/>
      <c r="AG52" s="156"/>
      <c r="AH52" s="155"/>
      <c r="AI52" s="156"/>
      <c r="AJ52" s="155"/>
      <c r="AK52" s="13"/>
    </row>
    <row r="53" spans="1:37" ht="15.75" customHeight="1">
      <c r="A53" s="206" t="s">
        <v>14</v>
      </c>
      <c r="B53" s="207"/>
      <c r="C53" s="189">
        <f t="shared" si="10"/>
        <v>32667394</v>
      </c>
      <c r="D53" s="189">
        <f t="shared" si="10"/>
        <v>23781272</v>
      </c>
      <c r="E53" s="187">
        <f t="shared" si="7"/>
        <v>0.72798191370881926</v>
      </c>
      <c r="F53" s="189">
        <f t="shared" si="11"/>
        <v>8886122</v>
      </c>
      <c r="G53" s="23">
        <f t="shared" si="12"/>
        <v>32667394</v>
      </c>
      <c r="H53" s="25">
        <f t="shared" si="8"/>
        <v>8886122</v>
      </c>
      <c r="I53" s="1">
        <v>1</v>
      </c>
      <c r="J53" s="135" t="s">
        <v>151</v>
      </c>
      <c r="K53" s="156">
        <v>32667394</v>
      </c>
      <c r="L53" s="156">
        <v>23781272</v>
      </c>
      <c r="M53" s="155">
        <f t="shared" si="9"/>
        <v>0.72798191370881926</v>
      </c>
      <c r="N53" s="156">
        <v>31030208</v>
      </c>
      <c r="O53" s="156">
        <v>24198198</v>
      </c>
      <c r="P53" s="155">
        <v>0.59484177482793543</v>
      </c>
      <c r="Q53" s="156"/>
      <c r="R53" s="156">
        <v>36594199</v>
      </c>
      <c r="S53" s="156">
        <v>63223505</v>
      </c>
      <c r="T53" s="155">
        <v>0.59785331002872888</v>
      </c>
      <c r="U53" s="156"/>
      <c r="V53" s="156">
        <v>36033186</v>
      </c>
      <c r="W53" s="156">
        <v>28645456.449999999</v>
      </c>
      <c r="X53" s="155">
        <v>0.54132573539292361</v>
      </c>
      <c r="Y53" s="156"/>
      <c r="Z53" s="156">
        <v>34955768</v>
      </c>
      <c r="AA53" s="156">
        <v>23074337.329999998</v>
      </c>
      <c r="AB53" s="155">
        <v>0.5365988399968783</v>
      </c>
      <c r="AC53" s="156"/>
      <c r="AD53" s="155">
        <v>0.40729776227638004</v>
      </c>
      <c r="AE53" s="13"/>
      <c r="AF53" s="156"/>
      <c r="AG53" s="156"/>
      <c r="AH53" s="155"/>
      <c r="AI53" s="156"/>
      <c r="AJ53" s="155"/>
      <c r="AK53" s="13"/>
    </row>
    <row r="54" spans="1:37" ht="15.75" customHeight="1">
      <c r="A54" s="206" t="s">
        <v>124</v>
      </c>
      <c r="B54" s="207"/>
      <c r="C54" s="189">
        <f t="shared" si="10"/>
        <v>11767178</v>
      </c>
      <c r="D54" s="189">
        <f t="shared" si="10"/>
        <v>11237697</v>
      </c>
      <c r="E54" s="187">
        <f t="shared" si="7"/>
        <v>0.95500357009981496</v>
      </c>
      <c r="F54" s="189">
        <f t="shared" si="11"/>
        <v>529481</v>
      </c>
      <c r="G54" s="23">
        <f t="shared" si="12"/>
        <v>11767178</v>
      </c>
      <c r="H54" s="25">
        <f t="shared" si="8"/>
        <v>529481</v>
      </c>
      <c r="I54" s="1">
        <v>1</v>
      </c>
      <c r="J54" s="135" t="s">
        <v>124</v>
      </c>
      <c r="K54" s="156">
        <v>11767178</v>
      </c>
      <c r="L54" s="156">
        <v>11237697</v>
      </c>
      <c r="M54" s="155">
        <f t="shared" si="9"/>
        <v>0.95500357009981496</v>
      </c>
      <c r="N54" s="156">
        <v>11756112</v>
      </c>
      <c r="O54" s="156">
        <v>10832313</v>
      </c>
      <c r="P54" s="155">
        <v>0.70970606608715536</v>
      </c>
      <c r="Q54" s="156"/>
      <c r="R54" s="156">
        <v>12350821</v>
      </c>
      <c r="S54" s="156">
        <v>11267992</v>
      </c>
      <c r="T54" s="155">
        <v>0.70654825294609969</v>
      </c>
      <c r="U54" s="156"/>
      <c r="V54" s="156">
        <v>11603014</v>
      </c>
      <c r="W54" s="156">
        <v>10842673.359999999</v>
      </c>
      <c r="X54" s="155">
        <v>0.68322457595931541</v>
      </c>
      <c r="Y54" s="156"/>
      <c r="Z54" s="156">
        <v>11138553</v>
      </c>
      <c r="AA54" s="156">
        <v>10943624.65</v>
      </c>
      <c r="AB54" s="155">
        <v>0.72889778142636663</v>
      </c>
      <c r="AC54" s="156"/>
      <c r="AD54" s="155">
        <v>0.4768090079891994</v>
      </c>
      <c r="AE54" s="13"/>
      <c r="AF54" s="156"/>
      <c r="AG54" s="156"/>
      <c r="AH54" s="155"/>
      <c r="AI54" s="156"/>
      <c r="AJ54" s="155"/>
      <c r="AK54" s="13"/>
    </row>
    <row r="55" spans="1:37" ht="15.75" customHeight="1">
      <c r="A55" s="206" t="s">
        <v>32</v>
      </c>
      <c r="B55" s="207"/>
      <c r="C55" s="189">
        <f t="shared" si="10"/>
        <v>15377499</v>
      </c>
      <c r="D55" s="189">
        <f t="shared" si="10"/>
        <v>14051057</v>
      </c>
      <c r="E55" s="187">
        <f t="shared" si="7"/>
        <v>0.91374136977671072</v>
      </c>
      <c r="F55" s="189">
        <f t="shared" si="11"/>
        <v>1326442</v>
      </c>
      <c r="G55" s="23">
        <f t="shared" si="12"/>
        <v>15377499</v>
      </c>
      <c r="H55" s="25">
        <f t="shared" si="8"/>
        <v>1326442</v>
      </c>
      <c r="I55" s="1">
        <v>1</v>
      </c>
      <c r="J55" s="135" t="s">
        <v>32</v>
      </c>
      <c r="K55" s="156">
        <v>15377499</v>
      </c>
      <c r="L55" s="156">
        <v>14051057</v>
      </c>
      <c r="M55" s="155">
        <f t="shared" si="9"/>
        <v>0.91374136977671072</v>
      </c>
      <c r="N55" s="156">
        <v>14379926</v>
      </c>
      <c r="O55" s="156">
        <v>13477887</v>
      </c>
      <c r="P55" s="155">
        <v>0.71757379001811272</v>
      </c>
      <c r="Q55" s="156"/>
      <c r="R55" s="156">
        <v>14589387</v>
      </c>
      <c r="S55" s="156">
        <v>13801449</v>
      </c>
      <c r="T55" s="155">
        <v>0.71850071562293882</v>
      </c>
      <c r="U55" s="156"/>
      <c r="V55" s="156">
        <v>14742575</v>
      </c>
      <c r="W55" s="156">
        <v>13640147.98</v>
      </c>
      <c r="X55" s="155">
        <v>0.69700261521477758</v>
      </c>
      <c r="Y55" s="156"/>
      <c r="Z55" s="156">
        <v>14546174</v>
      </c>
      <c r="AA55" s="156">
        <v>13457052.160000002</v>
      </c>
      <c r="AB55" s="155">
        <v>0.67309601892566395</v>
      </c>
      <c r="AC55" s="156"/>
      <c r="AD55" s="155">
        <v>0.48484329927825059</v>
      </c>
      <c r="AE55" s="13"/>
      <c r="AF55" s="156"/>
      <c r="AG55" s="156"/>
      <c r="AH55" s="155"/>
      <c r="AI55" s="156"/>
      <c r="AJ55" s="155"/>
      <c r="AK55" s="13"/>
    </row>
    <row r="56" spans="1:37" ht="15.75" customHeight="1">
      <c r="A56" s="206" t="s">
        <v>33</v>
      </c>
      <c r="B56" s="207"/>
      <c r="C56" s="189">
        <f t="shared" si="10"/>
        <v>10551894</v>
      </c>
      <c r="D56" s="189">
        <f t="shared" si="10"/>
        <v>9677640</v>
      </c>
      <c r="E56" s="187">
        <f t="shared" si="7"/>
        <v>0.91714719651277765</v>
      </c>
      <c r="F56" s="189">
        <f t="shared" si="11"/>
        <v>874254</v>
      </c>
      <c r="G56" s="23">
        <f t="shared" si="12"/>
        <v>10551894</v>
      </c>
      <c r="H56" s="25">
        <f t="shared" si="8"/>
        <v>874254</v>
      </c>
      <c r="I56" s="1">
        <v>1</v>
      </c>
      <c r="J56" s="135" t="s">
        <v>33</v>
      </c>
      <c r="K56" s="156">
        <v>10551894</v>
      </c>
      <c r="L56" s="156">
        <v>9677640</v>
      </c>
      <c r="M56" s="155">
        <f t="shared" si="9"/>
        <v>0.91714719651277765</v>
      </c>
      <c r="N56" s="156">
        <v>10468040</v>
      </c>
      <c r="O56" s="156">
        <v>9647331</v>
      </c>
      <c r="P56" s="155">
        <v>0.7055953167928285</v>
      </c>
      <c r="Q56" s="156"/>
      <c r="R56" s="156">
        <v>10895570</v>
      </c>
      <c r="S56" s="156">
        <v>10121700</v>
      </c>
      <c r="T56" s="155">
        <v>0.71390730361054999</v>
      </c>
      <c r="U56" s="156"/>
      <c r="V56" s="156">
        <v>10775827</v>
      </c>
      <c r="W56" s="156">
        <v>10309398.390000001</v>
      </c>
      <c r="X56" s="155">
        <v>0.72550097732638053</v>
      </c>
      <c r="Y56" s="156"/>
      <c r="Z56" s="156">
        <v>10460745</v>
      </c>
      <c r="AA56" s="156">
        <v>10012646.199999999</v>
      </c>
      <c r="AB56" s="155">
        <v>0.68989667275131938</v>
      </c>
      <c r="AC56" s="156"/>
      <c r="AD56" s="155">
        <v>0.4865312874805966</v>
      </c>
      <c r="AE56" s="13"/>
      <c r="AF56" s="156"/>
      <c r="AG56" s="156"/>
      <c r="AH56" s="155"/>
      <c r="AI56" s="156"/>
      <c r="AJ56" s="155"/>
      <c r="AK56" s="13"/>
    </row>
    <row r="57" spans="1:37" ht="15.75" customHeight="1">
      <c r="A57" s="206" t="s">
        <v>34</v>
      </c>
      <c r="B57" s="207"/>
      <c r="C57" s="189">
        <f t="shared" si="10"/>
        <v>10649104</v>
      </c>
      <c r="D57" s="189">
        <f t="shared" si="10"/>
        <v>9708357</v>
      </c>
      <c r="E57" s="187">
        <f t="shared" si="7"/>
        <v>0.91165951614332996</v>
      </c>
      <c r="F57" s="189">
        <f t="shared" si="11"/>
        <v>940747</v>
      </c>
      <c r="G57" s="23">
        <f t="shared" si="12"/>
        <v>10649104</v>
      </c>
      <c r="H57" s="25">
        <f t="shared" si="8"/>
        <v>940747</v>
      </c>
      <c r="I57" s="1">
        <v>1</v>
      </c>
      <c r="J57" s="135" t="s">
        <v>34</v>
      </c>
      <c r="K57" s="156">
        <v>10649104</v>
      </c>
      <c r="L57" s="156">
        <v>9708357</v>
      </c>
      <c r="M57" s="155">
        <f t="shared" si="9"/>
        <v>0.91165951614332996</v>
      </c>
      <c r="N57" s="156">
        <v>10353415</v>
      </c>
      <c r="O57" s="156">
        <v>9900940</v>
      </c>
      <c r="P57" s="155">
        <v>0.72489608501156377</v>
      </c>
      <c r="Q57" s="156"/>
      <c r="R57" s="156">
        <v>10218116</v>
      </c>
      <c r="S57" s="156">
        <v>9578543</v>
      </c>
      <c r="T57" s="155">
        <v>0.68507100526163534</v>
      </c>
      <c r="U57" s="156"/>
      <c r="V57" s="156">
        <v>10781064</v>
      </c>
      <c r="W57" s="156">
        <v>9270329</v>
      </c>
      <c r="X57" s="155">
        <v>0.63646673371014217</v>
      </c>
      <c r="Y57" s="156"/>
      <c r="Z57" s="156">
        <v>10829424</v>
      </c>
      <c r="AA57" s="156">
        <v>9628056.3699999992</v>
      </c>
      <c r="AB57" s="155">
        <v>0.64391599774835673</v>
      </c>
      <c r="AC57" s="156"/>
      <c r="AD57" s="155">
        <v>0.42159531309477055</v>
      </c>
      <c r="AE57" s="13"/>
      <c r="AF57" s="156"/>
      <c r="AG57" s="156"/>
      <c r="AH57" s="155"/>
      <c r="AI57" s="156"/>
      <c r="AJ57" s="155"/>
      <c r="AK57" s="13"/>
    </row>
    <row r="58" spans="1:37" ht="15.75" customHeight="1">
      <c r="A58" s="206" t="s">
        <v>35</v>
      </c>
      <c r="B58" s="207"/>
      <c r="C58" s="189">
        <f t="shared" si="10"/>
        <v>55086649</v>
      </c>
      <c r="D58" s="189">
        <f t="shared" si="10"/>
        <v>51378762</v>
      </c>
      <c r="E58" s="187">
        <f t="shared" si="7"/>
        <v>0.9326899154820617</v>
      </c>
      <c r="F58" s="189">
        <f t="shared" si="11"/>
        <v>3707887</v>
      </c>
      <c r="G58" s="23">
        <f t="shared" si="12"/>
        <v>55086649</v>
      </c>
      <c r="H58" s="25">
        <f>C58-D58</f>
        <v>3707887</v>
      </c>
      <c r="I58" s="1">
        <v>1</v>
      </c>
      <c r="J58" s="135" t="s">
        <v>35</v>
      </c>
      <c r="K58" s="156">
        <v>55086649</v>
      </c>
      <c r="L58" s="156">
        <v>51378762</v>
      </c>
      <c r="M58" s="155">
        <f t="shared" si="9"/>
        <v>0.9326899154820617</v>
      </c>
      <c r="N58" s="156">
        <v>45271679</v>
      </c>
      <c r="O58" s="156">
        <v>42790470</v>
      </c>
      <c r="P58" s="155">
        <v>0.72933568467827314</v>
      </c>
      <c r="Q58" s="156"/>
      <c r="R58" s="156">
        <v>45505343</v>
      </c>
      <c r="S58" s="156">
        <v>44235446</v>
      </c>
      <c r="T58" s="155">
        <v>0.73741261548121939</v>
      </c>
      <c r="U58" s="156"/>
      <c r="V58" s="156">
        <v>45971504</v>
      </c>
      <c r="W58" s="156">
        <v>44409312.299999997</v>
      </c>
      <c r="X58" s="155">
        <v>0.7376123704806351</v>
      </c>
      <c r="Y58" s="156"/>
      <c r="Z58" s="156">
        <v>44763416</v>
      </c>
      <c r="AA58" s="156">
        <v>43699153.5</v>
      </c>
      <c r="AB58" s="155">
        <v>0.71761090730877197</v>
      </c>
      <c r="AC58" s="156"/>
      <c r="AD58" s="155">
        <v>0.51583437624027817</v>
      </c>
      <c r="AE58" s="13"/>
      <c r="AF58" s="156"/>
      <c r="AG58" s="156"/>
      <c r="AH58" s="155"/>
      <c r="AI58" s="156"/>
      <c r="AJ58" s="155"/>
      <c r="AK58" s="13"/>
    </row>
    <row r="59" spans="1:37" ht="15.75" customHeight="1" thickBot="1">
      <c r="A59" s="206" t="s">
        <v>238</v>
      </c>
      <c r="B59" s="207"/>
      <c r="C59" s="189">
        <f t="shared" si="10"/>
        <v>330000</v>
      </c>
      <c r="D59" s="189">
        <f t="shared" si="10"/>
        <v>1443069</v>
      </c>
      <c r="E59" s="187">
        <f t="shared" si="7"/>
        <v>4.3729363636363638</v>
      </c>
      <c r="F59" s="189">
        <f t="shared" si="11"/>
        <v>-1113069</v>
      </c>
      <c r="G59" s="23">
        <f t="shared" si="12"/>
        <v>330000</v>
      </c>
      <c r="H59" s="25">
        <v>0</v>
      </c>
      <c r="I59" s="1">
        <v>1</v>
      </c>
      <c r="J59" s="135" t="s">
        <v>36</v>
      </c>
      <c r="K59" s="158">
        <v>330000</v>
      </c>
      <c r="L59" s="158">
        <v>1443069</v>
      </c>
      <c r="M59" s="152">
        <f t="shared" si="9"/>
        <v>4.3729363636363638</v>
      </c>
      <c r="N59" s="158">
        <v>9085000</v>
      </c>
      <c r="O59" s="158">
        <v>9085000</v>
      </c>
      <c r="P59" s="152">
        <v>1</v>
      </c>
      <c r="Q59" s="158"/>
      <c r="R59" s="158">
        <v>9355000</v>
      </c>
      <c r="S59" s="158">
        <v>9430590</v>
      </c>
      <c r="T59" s="152">
        <v>1.0080801710315339</v>
      </c>
      <c r="U59" s="158"/>
      <c r="V59" s="158">
        <v>8370000</v>
      </c>
      <c r="W59" s="158">
        <v>8420000</v>
      </c>
      <c r="X59" s="152">
        <v>1.005973715651135</v>
      </c>
      <c r="Y59" s="158"/>
      <c r="Z59" s="158">
        <v>8707782</v>
      </c>
      <c r="AA59" s="158">
        <v>9421491</v>
      </c>
      <c r="AB59" s="152">
        <v>1.0062660043625347</v>
      </c>
      <c r="AC59" s="158"/>
      <c r="AD59" s="152">
        <v>0.64379651851694508</v>
      </c>
      <c r="AE59" s="159"/>
      <c r="AF59" s="158"/>
      <c r="AG59" s="158"/>
      <c r="AH59" s="152"/>
      <c r="AI59" s="158"/>
      <c r="AJ59" s="152"/>
      <c r="AK59" s="159"/>
    </row>
    <row r="60" spans="1:37" ht="15.75" customHeight="1" thickBot="1">
      <c r="A60" s="210" t="s">
        <v>28</v>
      </c>
      <c r="B60" s="211"/>
      <c r="C60" s="186">
        <f>SUM(C49:C59)</f>
        <v>151995430</v>
      </c>
      <c r="D60" s="186">
        <f>SUM(D49:D59)</f>
        <v>134956398</v>
      </c>
      <c r="E60" s="187">
        <f t="shared" si="7"/>
        <v>0.88789773482005352</v>
      </c>
      <c r="F60" s="188">
        <f t="shared" si="11"/>
        <v>17039032</v>
      </c>
      <c r="G60" s="23">
        <f t="shared" si="12"/>
        <v>151995430</v>
      </c>
      <c r="J60" s="107"/>
      <c r="K60" s="157">
        <f>SUM(K49:K59)</f>
        <v>151995430</v>
      </c>
      <c r="L60" s="157">
        <f>SUM(L49:L59)</f>
        <v>134956398</v>
      </c>
      <c r="M60" s="153">
        <f t="shared" si="9"/>
        <v>0.88789773482005352</v>
      </c>
      <c r="N60" s="157">
        <v>146765759</v>
      </c>
      <c r="O60" s="157">
        <f>SUM(O49:O59)</f>
        <v>132744219</v>
      </c>
      <c r="P60" s="153">
        <v>0.70855760709144699</v>
      </c>
      <c r="Q60" s="157"/>
      <c r="R60" s="157">
        <v>153678623</v>
      </c>
      <c r="S60" s="157">
        <f>SUM(S49:S59)</f>
        <v>174641730</v>
      </c>
      <c r="T60" s="153">
        <v>0.70840187057115944</v>
      </c>
      <c r="U60" s="157"/>
      <c r="V60" s="157">
        <v>152858941</v>
      </c>
      <c r="W60" s="157">
        <f>SUM(W49:W59)</f>
        <v>138804409.34</v>
      </c>
      <c r="X60" s="153">
        <v>0.68784396288601801</v>
      </c>
      <c r="Y60" s="157"/>
      <c r="Z60" s="157">
        <v>150486607</v>
      </c>
      <c r="AA60" s="157">
        <f>SUM(AA49:AA59)</f>
        <v>133845225.48</v>
      </c>
      <c r="AB60" s="153">
        <v>0.67648281019453116</v>
      </c>
      <c r="AC60" s="157"/>
      <c r="AD60" s="153">
        <v>0.48304826681450236</v>
      </c>
      <c r="AE60" s="157"/>
      <c r="AF60" s="157"/>
      <c r="AG60" s="157"/>
      <c r="AH60" s="153"/>
      <c r="AI60" s="157"/>
      <c r="AJ60" s="153"/>
      <c r="AK60" s="157"/>
    </row>
    <row r="61" spans="1:37" ht="15.75" customHeight="1" thickTop="1">
      <c r="A61" s="192"/>
      <c r="B61" s="192"/>
      <c r="C61" s="193"/>
      <c r="D61" s="193"/>
      <c r="E61" s="194"/>
      <c r="F61" s="195"/>
      <c r="G61" s="14"/>
      <c r="J61" s="107"/>
      <c r="K61" s="107"/>
      <c r="L61" s="107"/>
      <c r="M61" s="107"/>
      <c r="N61" s="24"/>
      <c r="O61" s="24"/>
      <c r="P61" s="170"/>
      <c r="Q61" s="24"/>
      <c r="R61" s="24"/>
      <c r="S61" s="24"/>
      <c r="T61" s="170"/>
      <c r="U61" s="24"/>
      <c r="V61" s="24"/>
      <c r="W61" s="24"/>
      <c r="X61" s="170"/>
      <c r="Y61" s="24"/>
      <c r="Z61" s="170"/>
      <c r="AA61" s="24"/>
      <c r="AB61" s="24"/>
      <c r="AC61" s="24"/>
      <c r="AD61" s="170"/>
      <c r="AE61" s="24"/>
      <c r="AF61" s="170"/>
      <c r="AG61" s="24"/>
    </row>
    <row r="62" spans="1:37" ht="15.75" customHeight="1">
      <c r="A62" s="192"/>
      <c r="B62" s="192"/>
      <c r="C62" s="193"/>
      <c r="D62" s="193"/>
      <c r="E62" s="194"/>
      <c r="F62" s="195"/>
      <c r="G62" s="14"/>
      <c r="J62" s="107"/>
      <c r="K62" s="107"/>
      <c r="L62" s="107"/>
      <c r="M62" s="107"/>
      <c r="N62" s="24"/>
      <c r="O62" s="24"/>
      <c r="P62" s="170"/>
      <c r="Q62" s="24"/>
      <c r="R62" s="24"/>
      <c r="S62" s="24"/>
      <c r="T62" s="170"/>
      <c r="U62" s="24"/>
      <c r="V62" s="24"/>
      <c r="W62" s="24"/>
      <c r="X62" s="170"/>
      <c r="Y62" s="24"/>
      <c r="Z62" s="170"/>
      <c r="AA62" s="24"/>
      <c r="AB62" s="24"/>
      <c r="AC62" s="24"/>
      <c r="AD62" s="170"/>
      <c r="AE62" s="24"/>
      <c r="AF62" s="170"/>
      <c r="AG62" s="24"/>
    </row>
    <row r="63" spans="1:37" ht="15.75">
      <c r="A63" s="183"/>
      <c r="B63" s="183"/>
      <c r="C63" s="183"/>
      <c r="D63" s="183"/>
      <c r="E63" s="183"/>
      <c r="F63" s="183"/>
    </row>
    <row r="64" spans="1:37" ht="15.75">
      <c r="A64" s="183"/>
      <c r="B64" s="183"/>
      <c r="C64" s="183"/>
      <c r="D64" s="183"/>
      <c r="E64" s="183"/>
      <c r="F64" s="183"/>
    </row>
    <row r="65" spans="1:6" ht="15.75">
      <c r="A65" s="183"/>
      <c r="B65" s="183"/>
      <c r="C65" s="183"/>
      <c r="D65" s="183"/>
      <c r="E65" s="183"/>
      <c r="F65" s="183"/>
    </row>
    <row r="66" spans="1:6" ht="15.75">
      <c r="A66" s="183"/>
      <c r="B66" s="183"/>
      <c r="C66" s="183"/>
      <c r="D66" s="183"/>
      <c r="E66" s="183"/>
      <c r="F66" s="183"/>
    </row>
    <row r="67" spans="1:6" ht="15.75">
      <c r="A67" s="183"/>
      <c r="B67" s="183"/>
      <c r="C67" s="183"/>
      <c r="D67" s="183"/>
      <c r="E67" s="183"/>
      <c r="F67" s="183"/>
    </row>
    <row r="68" spans="1:6" ht="15.75">
      <c r="A68" s="183"/>
      <c r="B68" s="183"/>
      <c r="C68" s="183"/>
      <c r="D68" s="183"/>
      <c r="E68" s="183"/>
      <c r="F68" s="183"/>
    </row>
    <row r="69" spans="1:6" ht="15.75">
      <c r="A69" s="183"/>
      <c r="B69" s="183"/>
      <c r="C69" s="183"/>
      <c r="D69" s="183"/>
      <c r="E69" s="183"/>
      <c r="F69" s="183"/>
    </row>
    <row r="70" spans="1:6" ht="15.75">
      <c r="A70" s="183"/>
      <c r="B70" s="183"/>
      <c r="C70" s="183"/>
      <c r="D70" s="183"/>
      <c r="E70" s="183"/>
      <c r="F70" s="183"/>
    </row>
    <row r="71" spans="1:6" ht="15.75">
      <c r="A71" s="183"/>
      <c r="B71" s="183"/>
      <c r="C71" s="183"/>
      <c r="D71" s="183"/>
      <c r="E71" s="183"/>
      <c r="F71" s="183"/>
    </row>
    <row r="72" spans="1:6" ht="15.75">
      <c r="A72" s="183"/>
      <c r="B72" s="183"/>
      <c r="C72" s="183"/>
      <c r="D72" s="183"/>
      <c r="E72" s="183"/>
      <c r="F72" s="183"/>
    </row>
    <row r="73" spans="1:6" ht="15.75">
      <c r="A73" s="183"/>
      <c r="B73" s="183"/>
      <c r="C73" s="183"/>
      <c r="D73" s="183"/>
      <c r="E73" s="183"/>
      <c r="F73" s="183"/>
    </row>
    <row r="74" spans="1:6" ht="15.75">
      <c r="A74" s="183"/>
      <c r="B74" s="183"/>
      <c r="C74" s="183"/>
      <c r="D74" s="183"/>
      <c r="E74" s="183"/>
      <c r="F74" s="183"/>
    </row>
    <row r="75" spans="1:6" ht="15.75">
      <c r="A75" s="183"/>
      <c r="B75" s="183"/>
      <c r="C75" s="183"/>
      <c r="D75" s="183"/>
      <c r="E75" s="183"/>
      <c r="F75" s="183"/>
    </row>
    <row r="76" spans="1:6" ht="15.75">
      <c r="A76" s="183"/>
      <c r="B76" s="183"/>
      <c r="C76" s="183"/>
      <c r="D76" s="183"/>
      <c r="E76" s="183"/>
      <c r="F76" s="183"/>
    </row>
    <row r="77" spans="1:6" ht="15.75">
      <c r="A77" s="183"/>
      <c r="B77" s="183"/>
      <c r="C77" s="183"/>
      <c r="D77" s="183"/>
      <c r="E77" s="183"/>
      <c r="F77" s="183"/>
    </row>
    <row r="78" spans="1:6" ht="15.75">
      <c r="A78" s="183"/>
      <c r="B78" s="183"/>
      <c r="C78" s="183"/>
      <c r="D78" s="183"/>
      <c r="E78" s="183"/>
      <c r="F78" s="183"/>
    </row>
    <row r="79" spans="1:6" ht="15.75">
      <c r="A79" s="183"/>
      <c r="B79" s="183"/>
      <c r="C79" s="183"/>
      <c r="D79" s="183"/>
      <c r="E79" s="183"/>
      <c r="F79" s="183"/>
    </row>
    <row r="80" spans="1:6" ht="15.75">
      <c r="A80" s="183"/>
      <c r="B80" s="183"/>
      <c r="C80" s="183"/>
      <c r="D80" s="183"/>
      <c r="E80" s="183"/>
      <c r="F80" s="183"/>
    </row>
    <row r="81" spans="1:6" ht="15.75">
      <c r="A81" s="183"/>
      <c r="B81" s="183"/>
      <c r="C81" s="183"/>
      <c r="D81" s="183"/>
      <c r="E81" s="183"/>
      <c r="F81" s="183"/>
    </row>
    <row r="82" spans="1:6" ht="15.75">
      <c r="A82" s="183"/>
      <c r="B82" s="183"/>
      <c r="C82" s="183"/>
      <c r="D82" s="183"/>
      <c r="E82" s="183"/>
      <c r="F82" s="183"/>
    </row>
    <row r="83" spans="1:6" ht="15.75">
      <c r="A83" s="183"/>
      <c r="B83" s="183"/>
      <c r="C83" s="183"/>
      <c r="D83" s="183"/>
      <c r="E83" s="183"/>
      <c r="F83" s="183"/>
    </row>
    <row r="84" spans="1:6" ht="15.75">
      <c r="A84" s="183"/>
      <c r="B84" s="183"/>
      <c r="C84" s="183"/>
      <c r="D84" s="183"/>
      <c r="E84" s="183"/>
      <c r="F84" s="183"/>
    </row>
    <row r="85" spans="1:6" ht="15.75">
      <c r="A85" s="183"/>
      <c r="B85" s="183"/>
      <c r="C85" s="183"/>
      <c r="D85" s="183"/>
      <c r="E85" s="183"/>
      <c r="F85" s="183"/>
    </row>
    <row r="86" spans="1:6" ht="15.75">
      <c r="A86" s="183"/>
      <c r="B86" s="183"/>
      <c r="C86" s="183"/>
      <c r="D86" s="183"/>
      <c r="E86" s="183"/>
      <c r="F86" s="183"/>
    </row>
    <row r="87" spans="1:6" ht="15.75">
      <c r="A87" s="183"/>
      <c r="B87" s="183"/>
      <c r="C87" s="183"/>
      <c r="D87" s="183"/>
      <c r="E87" s="183"/>
      <c r="F87" s="183"/>
    </row>
    <row r="88" spans="1:6" ht="15.75">
      <c r="A88" s="183"/>
      <c r="B88" s="183"/>
      <c r="C88" s="183"/>
      <c r="D88" s="183"/>
      <c r="E88" s="183"/>
      <c r="F88" s="183"/>
    </row>
    <row r="89" spans="1:6" ht="15.75">
      <c r="A89" s="183"/>
      <c r="B89" s="183"/>
      <c r="C89" s="183"/>
      <c r="D89" s="183"/>
      <c r="E89" s="183"/>
      <c r="F89" s="183"/>
    </row>
    <row r="90" spans="1:6" ht="15.75">
      <c r="A90" s="183"/>
      <c r="B90" s="183"/>
      <c r="C90" s="183"/>
      <c r="D90" s="183"/>
      <c r="E90" s="183"/>
      <c r="F90" s="183"/>
    </row>
    <row r="91" spans="1:6" ht="15.75">
      <c r="A91" s="183"/>
      <c r="B91" s="183"/>
      <c r="C91" s="183"/>
      <c r="D91" s="183"/>
      <c r="E91" s="183"/>
      <c r="F91" s="183"/>
    </row>
    <row r="92" spans="1:6" ht="15.75">
      <c r="A92" s="183"/>
      <c r="B92" s="183"/>
      <c r="C92" s="183"/>
      <c r="D92" s="183"/>
      <c r="E92" s="183"/>
      <c r="F92" s="183"/>
    </row>
    <row r="93" spans="1:6" ht="15.75">
      <c r="A93" s="183"/>
      <c r="B93" s="183"/>
      <c r="C93" s="183"/>
      <c r="D93" s="183"/>
      <c r="E93" s="183"/>
      <c r="F93" s="183"/>
    </row>
    <row r="94" spans="1:6" ht="15.75">
      <c r="A94" s="183"/>
      <c r="B94" s="183"/>
      <c r="C94" s="183"/>
      <c r="D94" s="183"/>
      <c r="E94" s="183"/>
      <c r="F94" s="183"/>
    </row>
    <row r="95" spans="1:6" ht="15.75">
      <c r="A95" s="183"/>
      <c r="B95" s="183"/>
      <c r="C95" s="183"/>
      <c r="D95" s="183"/>
      <c r="E95" s="183"/>
      <c r="F95" s="183"/>
    </row>
    <row r="96" spans="1:6" ht="15.75">
      <c r="A96" s="183"/>
      <c r="B96" s="183"/>
      <c r="C96" s="183"/>
      <c r="D96" s="183"/>
      <c r="E96" s="183"/>
      <c r="F96" s="183"/>
    </row>
    <row r="97" spans="1:6" ht="15.75">
      <c r="A97" s="183"/>
      <c r="B97" s="183"/>
      <c r="C97" s="183"/>
      <c r="D97" s="183"/>
      <c r="E97" s="183"/>
      <c r="F97" s="183"/>
    </row>
    <row r="98" spans="1:6" ht="15.75">
      <c r="A98" s="183"/>
      <c r="B98" s="183"/>
      <c r="C98" s="183"/>
      <c r="D98" s="183"/>
      <c r="E98" s="183"/>
      <c r="F98" s="183"/>
    </row>
    <row r="99" spans="1:6" ht="15.75">
      <c r="A99" s="183"/>
      <c r="B99" s="183"/>
      <c r="C99" s="183"/>
      <c r="D99" s="183"/>
      <c r="E99" s="183"/>
      <c r="F99" s="183"/>
    </row>
    <row r="100" spans="1:6" ht="15.75">
      <c r="A100" s="183"/>
      <c r="B100" s="183"/>
      <c r="C100" s="183"/>
      <c r="D100" s="183"/>
      <c r="E100" s="183"/>
      <c r="F100" s="183"/>
    </row>
    <row r="101" spans="1:6" ht="15.75">
      <c r="A101" s="183"/>
      <c r="B101" s="183"/>
      <c r="C101" s="183"/>
      <c r="D101" s="183"/>
      <c r="E101" s="183"/>
      <c r="F101" s="183"/>
    </row>
    <row r="102" spans="1:6" ht="15.75">
      <c r="A102" s="183"/>
      <c r="B102" s="183"/>
      <c r="C102" s="183"/>
      <c r="D102" s="183"/>
      <c r="E102" s="183"/>
      <c r="F102" s="183"/>
    </row>
    <row r="103" spans="1:6" ht="15.75">
      <c r="A103" s="183"/>
      <c r="B103" s="183"/>
      <c r="C103" s="183"/>
      <c r="D103" s="183"/>
      <c r="E103" s="183"/>
      <c r="F103" s="183"/>
    </row>
    <row r="104" spans="1:6" ht="15.75">
      <c r="A104" s="183"/>
      <c r="B104" s="183"/>
      <c r="C104" s="183"/>
      <c r="D104" s="183"/>
      <c r="E104" s="183"/>
      <c r="F104" s="183"/>
    </row>
    <row r="105" spans="1:6" ht="15.75">
      <c r="A105" s="183"/>
      <c r="B105" s="183"/>
      <c r="C105" s="183"/>
      <c r="D105" s="183"/>
      <c r="E105" s="183"/>
      <c r="F105" s="183"/>
    </row>
    <row r="106" spans="1:6" ht="15.75">
      <c r="A106" s="183"/>
      <c r="B106" s="183"/>
      <c r="C106" s="183"/>
      <c r="D106" s="183"/>
      <c r="E106" s="183"/>
      <c r="F106" s="183"/>
    </row>
    <row r="107" spans="1:6" ht="15.75">
      <c r="A107" s="183"/>
      <c r="B107" s="183"/>
      <c r="C107" s="183"/>
      <c r="D107" s="183"/>
      <c r="E107" s="183"/>
      <c r="F107" s="183"/>
    </row>
    <row r="108" spans="1:6" ht="15.75">
      <c r="A108" s="183"/>
      <c r="B108" s="183"/>
      <c r="C108" s="183"/>
      <c r="D108" s="183"/>
      <c r="E108" s="183"/>
      <c r="F108" s="183"/>
    </row>
    <row r="109" spans="1:6" ht="15.75">
      <c r="A109" s="183"/>
      <c r="B109" s="183"/>
      <c r="C109" s="183"/>
      <c r="D109" s="183"/>
      <c r="E109" s="183"/>
      <c r="F109" s="183"/>
    </row>
    <row r="110" spans="1:6" ht="15.75">
      <c r="A110" s="183"/>
      <c r="B110" s="183"/>
      <c r="C110" s="183"/>
      <c r="D110" s="183"/>
      <c r="E110" s="183"/>
      <c r="F110" s="183"/>
    </row>
    <row r="111" spans="1:6" ht="15.75">
      <c r="A111" s="183"/>
      <c r="B111" s="183"/>
      <c r="C111" s="183"/>
      <c r="D111" s="183"/>
      <c r="E111" s="183"/>
      <c r="F111" s="183"/>
    </row>
    <row r="112" spans="1:6" ht="15.75">
      <c r="A112" s="183"/>
      <c r="B112" s="183"/>
      <c r="C112" s="183"/>
      <c r="D112" s="183"/>
      <c r="E112" s="183"/>
      <c r="F112" s="183"/>
    </row>
    <row r="113" spans="1:6" ht="15.75">
      <c r="A113" s="183"/>
      <c r="B113" s="183"/>
      <c r="C113" s="183"/>
      <c r="D113" s="183"/>
      <c r="E113" s="183"/>
      <c r="F113" s="183"/>
    </row>
    <row r="114" spans="1:6" ht="15.75">
      <c r="A114" s="183"/>
      <c r="B114" s="183"/>
      <c r="C114" s="183"/>
      <c r="D114" s="183"/>
      <c r="E114" s="183"/>
      <c r="F114" s="183"/>
    </row>
    <row r="115" spans="1:6" ht="15.75">
      <c r="A115" s="183"/>
      <c r="B115" s="183"/>
      <c r="C115" s="183"/>
      <c r="D115" s="183"/>
      <c r="E115" s="183"/>
      <c r="F115" s="183"/>
    </row>
    <row r="116" spans="1:6" ht="15.75">
      <c r="A116" s="183"/>
      <c r="B116" s="183"/>
      <c r="C116" s="183"/>
      <c r="D116" s="183"/>
      <c r="E116" s="183"/>
      <c r="F116" s="183"/>
    </row>
    <row r="117" spans="1:6" ht="15.75">
      <c r="A117" s="183"/>
      <c r="B117" s="183"/>
      <c r="C117" s="183"/>
      <c r="D117" s="183"/>
      <c r="E117" s="183"/>
      <c r="F117" s="183"/>
    </row>
    <row r="118" spans="1:6" ht="15.75">
      <c r="A118" s="183"/>
      <c r="B118" s="183"/>
      <c r="C118" s="183"/>
      <c r="D118" s="183"/>
      <c r="E118" s="183"/>
      <c r="F118" s="183"/>
    </row>
    <row r="119" spans="1:6" ht="15.75">
      <c r="A119" s="183"/>
      <c r="B119" s="183"/>
      <c r="C119" s="183"/>
      <c r="D119" s="183"/>
      <c r="E119" s="183"/>
      <c r="F119" s="183"/>
    </row>
    <row r="120" spans="1:6" ht="15.75">
      <c r="A120" s="183"/>
      <c r="B120" s="183"/>
      <c r="C120" s="183"/>
      <c r="D120" s="183"/>
      <c r="E120" s="183"/>
      <c r="F120" s="183"/>
    </row>
    <row r="121" spans="1:6" ht="15.75">
      <c r="A121" s="183"/>
      <c r="B121" s="183"/>
      <c r="C121" s="183"/>
      <c r="D121" s="183"/>
      <c r="E121" s="183"/>
      <c r="F121" s="183"/>
    </row>
    <row r="122" spans="1:6" ht="15.75">
      <c r="A122" s="183"/>
      <c r="B122" s="183"/>
      <c r="C122" s="183"/>
      <c r="D122" s="183"/>
      <c r="E122" s="183"/>
      <c r="F122" s="183"/>
    </row>
    <row r="123" spans="1:6" ht="15.75">
      <c r="A123" s="183"/>
      <c r="B123" s="183"/>
      <c r="C123" s="183"/>
      <c r="D123" s="183"/>
      <c r="E123" s="183"/>
      <c r="F123" s="183"/>
    </row>
    <row r="124" spans="1:6" ht="15.75">
      <c r="A124" s="183"/>
      <c r="B124" s="183"/>
      <c r="C124" s="183"/>
      <c r="D124" s="183"/>
      <c r="E124" s="183"/>
      <c r="F124" s="183"/>
    </row>
    <row r="125" spans="1:6" ht="15.75">
      <c r="A125" s="183"/>
      <c r="B125" s="183"/>
      <c r="C125" s="183"/>
      <c r="D125" s="183"/>
      <c r="E125" s="183"/>
      <c r="F125" s="183"/>
    </row>
    <row r="126" spans="1:6" ht="15.75">
      <c r="A126" s="183"/>
      <c r="B126" s="183"/>
      <c r="C126" s="183"/>
      <c r="D126" s="183"/>
      <c r="E126" s="183"/>
      <c r="F126" s="183"/>
    </row>
    <row r="127" spans="1:6" ht="15.75">
      <c r="A127" s="183"/>
      <c r="B127" s="183"/>
      <c r="C127" s="183"/>
      <c r="D127" s="183"/>
      <c r="E127" s="183"/>
      <c r="F127" s="183"/>
    </row>
    <row r="128" spans="1:6" ht="15.75">
      <c r="A128" s="183"/>
      <c r="B128" s="183"/>
      <c r="C128" s="183"/>
      <c r="D128" s="183"/>
      <c r="E128" s="183"/>
      <c r="F128" s="183"/>
    </row>
    <row r="129" spans="1:6" ht="15.75">
      <c r="A129" s="183"/>
      <c r="B129" s="183"/>
      <c r="C129" s="183"/>
      <c r="D129" s="183"/>
      <c r="E129" s="183"/>
      <c r="F129" s="183"/>
    </row>
    <row r="130" spans="1:6" ht="15.75">
      <c r="A130" s="183"/>
      <c r="B130" s="183"/>
      <c r="C130" s="183"/>
      <c r="D130" s="183"/>
      <c r="E130" s="183"/>
      <c r="F130" s="183"/>
    </row>
    <row r="131" spans="1:6" ht="15.75">
      <c r="A131" s="183"/>
      <c r="B131" s="183"/>
      <c r="C131" s="183"/>
      <c r="D131" s="183"/>
      <c r="E131" s="183"/>
      <c r="F131" s="183"/>
    </row>
    <row r="132" spans="1:6" ht="15.75">
      <c r="A132" s="183"/>
      <c r="B132" s="183"/>
      <c r="C132" s="183"/>
      <c r="D132" s="183"/>
      <c r="E132" s="183"/>
      <c r="F132" s="183"/>
    </row>
    <row r="133" spans="1:6" ht="15.75">
      <c r="A133" s="183"/>
      <c r="B133" s="183"/>
      <c r="C133" s="183"/>
      <c r="D133" s="183"/>
      <c r="E133" s="183"/>
      <c r="F133" s="183"/>
    </row>
    <row r="134" spans="1:6" ht="15.75">
      <c r="A134" s="183"/>
      <c r="B134" s="183"/>
      <c r="C134" s="183"/>
      <c r="D134" s="183"/>
      <c r="E134" s="183"/>
      <c r="F134" s="183"/>
    </row>
    <row r="135" spans="1:6" ht="15.75">
      <c r="A135" s="183"/>
      <c r="B135" s="183"/>
      <c r="C135" s="183"/>
      <c r="D135" s="183"/>
      <c r="E135" s="183"/>
      <c r="F135" s="183"/>
    </row>
    <row r="136" spans="1:6" ht="15.75">
      <c r="A136" s="183"/>
      <c r="B136" s="183"/>
      <c r="C136" s="183"/>
      <c r="D136" s="183"/>
      <c r="E136" s="183"/>
      <c r="F136" s="183"/>
    </row>
    <row r="137" spans="1:6" ht="15.75">
      <c r="A137" s="183"/>
      <c r="B137" s="183"/>
      <c r="C137" s="183"/>
      <c r="D137" s="183"/>
      <c r="E137" s="183"/>
      <c r="F137" s="183"/>
    </row>
    <row r="138" spans="1:6" ht="15.75">
      <c r="A138" s="183"/>
      <c r="B138" s="183"/>
      <c r="C138" s="183"/>
      <c r="D138" s="183"/>
      <c r="E138" s="183"/>
      <c r="F138" s="183"/>
    </row>
  </sheetData>
  <mergeCells count="26">
    <mergeCell ref="A59:B59"/>
    <mergeCell ref="A60:B60"/>
    <mergeCell ref="A53:B53"/>
    <mergeCell ref="A54:B54"/>
    <mergeCell ref="A55:B55"/>
    <mergeCell ref="A56:B56"/>
    <mergeCell ref="A57:B57"/>
    <mergeCell ref="A58:B58"/>
    <mergeCell ref="A46:F46"/>
    <mergeCell ref="A48:B48"/>
    <mergeCell ref="A49:B49"/>
    <mergeCell ref="A50:B50"/>
    <mergeCell ref="A51:B51"/>
    <mergeCell ref="A52:B52"/>
    <mergeCell ref="A19:B19"/>
    <mergeCell ref="A20:B20"/>
    <mergeCell ref="A21:B21"/>
    <mergeCell ref="A22:B22"/>
    <mergeCell ref="A23:B23"/>
    <mergeCell ref="A24:B24"/>
    <mergeCell ref="B3:D3"/>
    <mergeCell ref="A13:F13"/>
    <mergeCell ref="A14:F14"/>
    <mergeCell ref="A16:B16"/>
    <mergeCell ref="A17:B17"/>
    <mergeCell ref="A18:B1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H31" workbookViewId="0">
      <selection activeCell="L49" sqref="L49:L5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7.7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9" style="2"/>
    <col min="28" max="28" width="11.375" style="2" customWidth="1"/>
    <col min="29" max="29" width="9" style="2"/>
    <col min="30" max="30" width="12.75" style="2" customWidth="1"/>
    <col min="31" max="16384" width="9" style="2"/>
  </cols>
  <sheetData>
    <row r="1" spans="1:25" ht="15.95" customHeight="1">
      <c r="E1" s="3"/>
      <c r="F1" s="3" t="s">
        <v>23</v>
      </c>
    </row>
    <row r="2" spans="1:25" ht="15.95" customHeight="1">
      <c r="E2" s="3"/>
      <c r="F2" s="3" t="s">
        <v>56</v>
      </c>
    </row>
    <row r="3" spans="1:25" ht="15.95" customHeight="1">
      <c r="B3" s="202" t="s">
        <v>43</v>
      </c>
      <c r="C3" s="202"/>
      <c r="D3" s="202"/>
      <c r="E3" s="3"/>
      <c r="F3" s="3" t="s">
        <v>57</v>
      </c>
    </row>
    <row r="4" spans="1:25" ht="15.95" customHeight="1">
      <c r="E4" s="3"/>
      <c r="F4" s="3" t="s">
        <v>58</v>
      </c>
    </row>
    <row r="5" spans="1:25" ht="15.95" customHeight="1">
      <c r="E5" s="3"/>
      <c r="F5" s="3" t="s">
        <v>24</v>
      </c>
    </row>
    <row r="6" spans="1:25" ht="15.75">
      <c r="A6" s="4"/>
      <c r="B6" s="4"/>
      <c r="C6" s="4"/>
      <c r="D6" s="5"/>
      <c r="E6" s="5"/>
      <c r="F6" s="4"/>
    </row>
    <row r="7" spans="1:25" ht="15.75">
      <c r="D7" s="3"/>
      <c r="E7" s="3"/>
    </row>
    <row r="8" spans="1:25" ht="19.5" customHeight="1">
      <c r="A8" s="6" t="s">
        <v>38</v>
      </c>
      <c r="B8" s="7" t="s">
        <v>39</v>
      </c>
    </row>
    <row r="9" spans="1:25" ht="19.5" customHeight="1">
      <c r="A9" s="6" t="s">
        <v>40</v>
      </c>
      <c r="B9" s="7" t="s">
        <v>98</v>
      </c>
    </row>
    <row r="10" spans="1:25" ht="19.5" customHeight="1">
      <c r="A10" s="6" t="s">
        <v>41</v>
      </c>
      <c r="B10" s="8">
        <v>40739</v>
      </c>
    </row>
    <row r="11" spans="1:25" ht="19.5" customHeight="1">
      <c r="A11" s="6" t="s">
        <v>42</v>
      </c>
      <c r="B11" s="7" t="s">
        <v>161</v>
      </c>
    </row>
    <row r="12" spans="1:25" ht="19.5" customHeight="1">
      <c r="A12" s="6"/>
      <c r="B12" s="7"/>
    </row>
    <row r="13" spans="1:25" ht="12.75" customHeight="1">
      <c r="A13" s="212"/>
      <c r="B13" s="212"/>
      <c r="C13" s="212"/>
      <c r="D13" s="212"/>
      <c r="E13" s="212"/>
      <c r="F13" s="212"/>
    </row>
    <row r="14" spans="1:25" ht="31.5" customHeight="1">
      <c r="A14" s="213" t="s">
        <v>29</v>
      </c>
      <c r="B14" s="213"/>
      <c r="C14" s="213"/>
      <c r="D14" s="213"/>
      <c r="E14" s="213"/>
      <c r="F14" s="213"/>
    </row>
    <row r="15" spans="1:25">
      <c r="K15" s="134"/>
      <c r="L15" s="134"/>
      <c r="M15" s="134"/>
      <c r="N15" s="134"/>
    </row>
    <row r="16" spans="1:25" ht="38.25">
      <c r="A16" s="214"/>
      <c r="B16" s="214"/>
      <c r="C16" s="9" t="s">
        <v>143</v>
      </c>
      <c r="D16" s="9" t="s">
        <v>162</v>
      </c>
      <c r="E16" s="9" t="s">
        <v>25</v>
      </c>
      <c r="F16" s="9" t="s">
        <v>48</v>
      </c>
      <c r="G16" s="10">
        <v>0.75</v>
      </c>
      <c r="H16" s="2" t="s">
        <v>44</v>
      </c>
      <c r="I16" s="10">
        <v>0.75</v>
      </c>
      <c r="K16" s="9" t="s">
        <v>143</v>
      </c>
      <c r="L16" s="9" t="s">
        <v>144</v>
      </c>
      <c r="M16" s="9">
        <v>2011</v>
      </c>
      <c r="N16" s="9" t="s">
        <v>99</v>
      </c>
      <c r="O16" s="9" t="s">
        <v>164</v>
      </c>
      <c r="P16" s="9" t="s">
        <v>142</v>
      </c>
      <c r="Q16" s="9">
        <v>2010</v>
      </c>
      <c r="R16" s="9" t="s">
        <v>1</v>
      </c>
      <c r="S16" s="9" t="s">
        <v>165</v>
      </c>
      <c r="T16" s="9" t="s">
        <v>113</v>
      </c>
      <c r="U16" s="9">
        <v>2009</v>
      </c>
      <c r="V16" s="9" t="s">
        <v>111</v>
      </c>
      <c r="W16" s="9" t="s">
        <v>166</v>
      </c>
      <c r="X16" s="9" t="s">
        <v>114</v>
      </c>
      <c r="Y16" s="9">
        <v>2008</v>
      </c>
    </row>
    <row r="17" spans="1:25" ht="15.75" customHeight="1">
      <c r="A17" s="215" t="s">
        <v>26</v>
      </c>
      <c r="B17" s="215"/>
      <c r="C17" s="11">
        <f>K17</f>
        <v>130863490</v>
      </c>
      <c r="D17" s="11">
        <f>L17</f>
        <v>130320072</v>
      </c>
      <c r="E17" s="12">
        <f t="shared" ref="E17:E24" si="0">(D17/C17)</f>
        <v>0.99584744377518897</v>
      </c>
      <c r="F17" s="29">
        <f t="shared" ref="F17:F23" si="1">D17-G17</f>
        <v>32172454.5</v>
      </c>
      <c r="G17" s="14">
        <f>C17*0.75</f>
        <v>98147617.5</v>
      </c>
      <c r="H17" s="15">
        <f>C17-D17</f>
        <v>543418</v>
      </c>
      <c r="I17" s="10">
        <v>0.75</v>
      </c>
      <c r="J17" s="21" t="str">
        <f>A17</f>
        <v>Current / Delinquent Taxes</v>
      </c>
      <c r="K17" s="161">
        <v>130863490</v>
      </c>
      <c r="L17" s="161">
        <v>130320072</v>
      </c>
      <c r="M17" s="12">
        <f>(L17/K17)</f>
        <v>0.99584744377518897</v>
      </c>
      <c r="N17" s="11">
        <v>130450730</v>
      </c>
      <c r="O17" s="11">
        <v>129447511.40000001</v>
      </c>
      <c r="P17" s="166">
        <v>130271144</v>
      </c>
      <c r="Q17" s="12">
        <f>(O17/P17)</f>
        <v>0.99367755149214021</v>
      </c>
      <c r="R17" s="11">
        <f>'FY 2009 Rev 01-04-10'!E3</f>
        <v>119221816</v>
      </c>
      <c r="S17" s="11">
        <f>SUM('FY 2009 Rev 01-04-10'!F3:N3)</f>
        <v>118519974.36000001</v>
      </c>
      <c r="T17" s="11">
        <f>'FY 2009 Rev 01-04-10'!D3</f>
        <v>119967823.45</v>
      </c>
      <c r="U17" s="12">
        <f t="shared" ref="U17:U24" si="2">S17/T17</f>
        <v>0.9879313548553007</v>
      </c>
      <c r="V17" s="11">
        <f>'FY 2008 Rev 01-04-10'!E3</f>
        <v>106565989</v>
      </c>
      <c r="W17" s="11">
        <f>SUM('FY 2008 Rev 01-04-10'!F3:N3)</f>
        <v>115681496.34</v>
      </c>
      <c r="X17" s="11">
        <f>'FY 2008 Rev 01-04-10'!D3</f>
        <v>117399101.34999999</v>
      </c>
      <c r="Y17" s="12">
        <f t="shared" ref="Y17:Y24" si="3">W17/X17</f>
        <v>0.98536952165520142</v>
      </c>
    </row>
    <row r="18" spans="1:25" ht="15.75" customHeight="1">
      <c r="A18" s="215" t="s">
        <v>102</v>
      </c>
      <c r="B18" s="215"/>
      <c r="C18" s="22">
        <f t="shared" ref="C18:D23" si="4">K18</f>
        <v>4000</v>
      </c>
      <c r="D18" s="22">
        <f t="shared" si="4"/>
        <v>5500</v>
      </c>
      <c r="E18" s="12">
        <f>(D18/C18)</f>
        <v>1.375</v>
      </c>
      <c r="F18" s="22">
        <f>D18-G18</f>
        <v>2500</v>
      </c>
      <c r="G18" s="14">
        <f t="shared" ref="G18:G24" si="5">C18*0.75</f>
        <v>3000</v>
      </c>
      <c r="H18" s="15">
        <v>0</v>
      </c>
      <c r="I18" s="10">
        <v>0.75</v>
      </c>
      <c r="J18" s="21" t="str">
        <f t="shared" ref="J18:J23" si="6">A18</f>
        <v>License / Permits</v>
      </c>
      <c r="K18" s="161">
        <v>4000</v>
      </c>
      <c r="L18" s="161">
        <v>5500</v>
      </c>
      <c r="M18" s="12">
        <f t="shared" ref="M18:M24" si="7">(L18/K18)</f>
        <v>1.375</v>
      </c>
      <c r="N18" s="16">
        <f>C18</f>
        <v>4000</v>
      </c>
      <c r="O18" s="28">
        <v>2500</v>
      </c>
      <c r="P18" s="165">
        <v>2500</v>
      </c>
      <c r="Q18" s="12">
        <f t="shared" ref="Q18:Q24" si="8">(O18/P18)</f>
        <v>1</v>
      </c>
      <c r="R18" s="28">
        <f>'FY 2009 Rev 01-04-10'!E6</f>
        <v>4000</v>
      </c>
      <c r="S18" s="28">
        <f>SUM('FY 2009 Rev 01-04-10'!F6:N6)</f>
        <v>3500</v>
      </c>
      <c r="T18" s="28">
        <f>'FY 2009 Rev 01-04-10'!D6</f>
        <v>4000</v>
      </c>
      <c r="U18" s="12">
        <f t="shared" si="2"/>
        <v>0.875</v>
      </c>
      <c r="V18" s="28">
        <f>'FY 2008 Rev 01-04-10'!E6</f>
        <v>4200</v>
      </c>
      <c r="W18" s="28">
        <f>SUM('FY 2008 Rev 01-04-10'!F6:N6)</f>
        <v>3000</v>
      </c>
      <c r="X18" s="28">
        <f>'FY 2008 Rev 01-04-10'!D6</f>
        <v>4000</v>
      </c>
      <c r="Y18" s="12">
        <f t="shared" si="3"/>
        <v>0.75</v>
      </c>
    </row>
    <row r="19" spans="1:25" ht="15.75" customHeight="1">
      <c r="A19" s="215" t="s">
        <v>55</v>
      </c>
      <c r="B19" s="215"/>
      <c r="C19" s="22">
        <f t="shared" si="4"/>
        <v>3312377</v>
      </c>
      <c r="D19" s="22">
        <f t="shared" si="4"/>
        <v>2449923</v>
      </c>
      <c r="E19" s="12">
        <f t="shared" si="0"/>
        <v>0.73962686010680545</v>
      </c>
      <c r="F19" s="22">
        <f t="shared" si="1"/>
        <v>-34359.75</v>
      </c>
      <c r="G19" s="14">
        <f t="shared" si="5"/>
        <v>2484282.75</v>
      </c>
      <c r="H19" s="27">
        <f>C19-D19</f>
        <v>862454</v>
      </c>
      <c r="I19" s="10">
        <v>0.75</v>
      </c>
      <c r="J19" s="21" t="str">
        <f t="shared" si="6"/>
        <v>Intergovernmental Revenue</v>
      </c>
      <c r="K19" s="161">
        <v>3312377</v>
      </c>
      <c r="L19" s="161">
        <f>16600+90387+1121364+1221572</f>
        <v>2449923</v>
      </c>
      <c r="M19" s="12">
        <f t="shared" si="7"/>
        <v>0.73962686010680545</v>
      </c>
      <c r="N19" s="16">
        <v>3547135</v>
      </c>
      <c r="O19" s="28">
        <v>2353506.14</v>
      </c>
      <c r="P19" s="165">
        <v>3908666</v>
      </c>
      <c r="Q19" s="12">
        <f t="shared" si="8"/>
        <v>0.60212515983714143</v>
      </c>
      <c r="R19" s="28">
        <f>'FY 2009 Rev 01-04-10'!E11</f>
        <v>3678780</v>
      </c>
      <c r="S19" s="28">
        <f>SUM('FY 2009 Rev 01-04-10'!F11:N11)</f>
        <v>2231166.7399999998</v>
      </c>
      <c r="T19" s="28">
        <f>'FY 2009 Rev 01-04-10'!D11</f>
        <v>3992954.02</v>
      </c>
      <c r="U19" s="12">
        <f t="shared" si="2"/>
        <v>0.55877596607035307</v>
      </c>
      <c r="V19" s="28">
        <f>'FY 2008 Rev 01-04-10'!E11</f>
        <v>3079080</v>
      </c>
      <c r="W19" s="28">
        <f>SUM('FY 2008 Rev 01-04-10'!F11:N11)</f>
        <v>2318013.42</v>
      </c>
      <c r="X19" s="28">
        <f>'FY 2008 Rev 01-04-10'!D11</f>
        <v>3979230.29</v>
      </c>
      <c r="Y19" s="12">
        <f t="shared" si="3"/>
        <v>0.58252808987338101</v>
      </c>
    </row>
    <row r="20" spans="1:25" ht="15.75" customHeight="1">
      <c r="A20" s="215" t="s">
        <v>2</v>
      </c>
      <c r="B20" s="215"/>
      <c r="C20" s="22">
        <f t="shared" si="4"/>
        <v>15205012</v>
      </c>
      <c r="D20" s="22">
        <f t="shared" si="4"/>
        <v>11565808</v>
      </c>
      <c r="E20" s="12">
        <f t="shared" si="0"/>
        <v>0.76065760421629391</v>
      </c>
      <c r="F20" s="22">
        <f t="shared" si="1"/>
        <v>162049</v>
      </c>
      <c r="G20" s="14">
        <f t="shared" si="5"/>
        <v>11403759</v>
      </c>
      <c r="H20" s="27">
        <f>C20-D20</f>
        <v>3639204</v>
      </c>
      <c r="I20" s="10">
        <v>0.75</v>
      </c>
      <c r="J20" s="21" t="str">
        <f t="shared" si="6"/>
        <v>Fees/Charges for Services</v>
      </c>
      <c r="K20" s="161">
        <v>15205012</v>
      </c>
      <c r="L20" s="161">
        <f>4043365+3326980+4061339+23208+110916</f>
        <v>11565808</v>
      </c>
      <c r="M20" s="12">
        <f t="shared" si="7"/>
        <v>0.76065760421629391</v>
      </c>
      <c r="N20" s="16">
        <v>16957104</v>
      </c>
      <c r="O20" s="28">
        <v>11247465.740000002</v>
      </c>
      <c r="P20" s="165">
        <v>15217085</v>
      </c>
      <c r="Q20" s="12">
        <f t="shared" si="8"/>
        <v>0.73913405491261974</v>
      </c>
      <c r="R20" s="28">
        <f>'FY 2009 Rev 01-04-10'!E18</f>
        <v>19143500</v>
      </c>
      <c r="S20" s="28">
        <f>SUM('FY 2009 Rev 01-04-10'!F18:N18)</f>
        <v>11414629.09</v>
      </c>
      <c r="T20" s="28">
        <f>'FY 2009 Rev 01-04-10'!D18</f>
        <v>15850676.109999999</v>
      </c>
      <c r="U20" s="12">
        <f t="shared" si="2"/>
        <v>0.72013515453758148</v>
      </c>
      <c r="V20" s="28">
        <f>'FY 2008 Rev 01-04-10'!E18</f>
        <v>16631625</v>
      </c>
      <c r="W20" s="28">
        <f>SUM('FY 2008 Rev 01-04-10'!F18:N18)</f>
        <v>11724668.380000001</v>
      </c>
      <c r="X20" s="28">
        <f>'FY 2008 Rev 01-04-10'!D18</f>
        <v>15930660.34</v>
      </c>
      <c r="Y20" s="12">
        <f t="shared" si="3"/>
        <v>0.73598131714356796</v>
      </c>
    </row>
    <row r="21" spans="1:25" ht="15.75" customHeight="1">
      <c r="A21" s="215" t="s">
        <v>4</v>
      </c>
      <c r="B21" s="215"/>
      <c r="C21" s="22">
        <f t="shared" si="4"/>
        <v>1748000</v>
      </c>
      <c r="D21" s="22">
        <f t="shared" si="4"/>
        <v>1422963</v>
      </c>
      <c r="E21" s="12">
        <f t="shared" si="0"/>
        <v>0.81405205949656756</v>
      </c>
      <c r="F21" s="22">
        <f t="shared" si="1"/>
        <v>111963</v>
      </c>
      <c r="G21" s="14">
        <f t="shared" si="5"/>
        <v>1311000</v>
      </c>
      <c r="H21" s="27">
        <f>C21-D21</f>
        <v>325037</v>
      </c>
      <c r="I21" s="10">
        <v>0.75</v>
      </c>
      <c r="J21" s="21" t="str">
        <f t="shared" si="6"/>
        <v>Fines</v>
      </c>
      <c r="K21" s="161">
        <v>1748000</v>
      </c>
      <c r="L21" s="161">
        <v>1422963</v>
      </c>
      <c r="M21" s="12">
        <f t="shared" si="7"/>
        <v>0.81405205949656756</v>
      </c>
      <c r="N21" s="16">
        <v>2301020</v>
      </c>
      <c r="O21" s="28">
        <v>1313542.2</v>
      </c>
      <c r="P21" s="165">
        <v>1821451</v>
      </c>
      <c r="Q21" s="12">
        <f t="shared" si="8"/>
        <v>0.72115154346726862</v>
      </c>
      <c r="R21" s="28">
        <f>'FY 2009 Rev 01-04-10'!E20</f>
        <v>2771000</v>
      </c>
      <c r="S21" s="28">
        <f>SUM('FY 2009 Rev 01-04-10'!F20:N20)</f>
        <v>1711633.2800000003</v>
      </c>
      <c r="T21" s="28">
        <f>'FY 2009 Rev 01-04-10'!D20</f>
        <v>2270389.13</v>
      </c>
      <c r="U21" s="12">
        <f t="shared" si="2"/>
        <v>0.75389423662365773</v>
      </c>
      <c r="V21" s="28">
        <f>'FY 2008 Rev 01-04-10'!E20</f>
        <v>2967500</v>
      </c>
      <c r="W21" s="28">
        <f>SUM('FY 2008 Rev 01-04-10'!F20:N20)</f>
        <v>2082019.39</v>
      </c>
      <c r="X21" s="28">
        <f>'FY 2008 Rev 01-04-10'!D20</f>
        <v>2688475.7</v>
      </c>
      <c r="Y21" s="12">
        <f t="shared" si="3"/>
        <v>0.77442373386525298</v>
      </c>
    </row>
    <row r="22" spans="1:25" ht="15.75" customHeight="1">
      <c r="A22" s="215" t="s">
        <v>3</v>
      </c>
      <c r="B22" s="215"/>
      <c r="C22" s="22">
        <f t="shared" si="4"/>
        <v>1119600</v>
      </c>
      <c r="D22" s="22">
        <f t="shared" si="4"/>
        <v>1363086</v>
      </c>
      <c r="E22" s="12">
        <f t="shared" si="0"/>
        <v>1.2174758842443729</v>
      </c>
      <c r="F22" s="22">
        <f t="shared" si="1"/>
        <v>523386</v>
      </c>
      <c r="G22" s="14">
        <f t="shared" si="5"/>
        <v>839700</v>
      </c>
      <c r="H22" s="27">
        <v>0</v>
      </c>
      <c r="I22" s="10">
        <v>0.75</v>
      </c>
      <c r="J22" s="21" t="str">
        <f t="shared" si="6"/>
        <v>Investment Revenue</v>
      </c>
      <c r="K22" s="161">
        <v>1119600</v>
      </c>
      <c r="L22" s="161">
        <f>1349384+13702</f>
        <v>1363086</v>
      </c>
      <c r="M22" s="12">
        <f t="shared" si="7"/>
        <v>1.2174758842443729</v>
      </c>
      <c r="N22" s="16">
        <v>3133290</v>
      </c>
      <c r="O22" s="28">
        <v>1514494.0499999998</v>
      </c>
      <c r="P22" s="165">
        <v>2192285</v>
      </c>
      <c r="Q22" s="12">
        <f t="shared" si="8"/>
        <v>0.69082899805454123</v>
      </c>
      <c r="R22" s="28">
        <f>'FY 2009 Rev 01-04-10'!E23</f>
        <v>5168400</v>
      </c>
      <c r="S22" s="28">
        <f>SUM('FY 2009 Rev 01-04-10'!F23:N23)</f>
        <v>2501728.25</v>
      </c>
      <c r="T22" s="28">
        <f>'FY 2009 Rev 01-04-10'!D23</f>
        <v>3039255.96</v>
      </c>
      <c r="U22" s="12">
        <f t="shared" si="2"/>
        <v>0.82313838746243673</v>
      </c>
      <c r="V22" s="28">
        <f>'FY 2008 Rev 01-04-10'!E23</f>
        <v>6994800</v>
      </c>
      <c r="W22" s="28">
        <f>SUM('FY 2008 Rev 01-04-10'!F23:N23)</f>
        <v>4831159.5600000005</v>
      </c>
      <c r="X22" s="28">
        <f>'FY 2008 Rev 01-04-10'!D23</f>
        <v>6575786.3600000003</v>
      </c>
      <c r="Y22" s="12">
        <f t="shared" si="3"/>
        <v>0.73468925167453281</v>
      </c>
    </row>
    <row r="23" spans="1:25" ht="15.75" customHeight="1" thickBot="1">
      <c r="A23" s="215" t="s">
        <v>27</v>
      </c>
      <c r="B23" s="215"/>
      <c r="C23" s="22">
        <f t="shared" si="4"/>
        <v>463840</v>
      </c>
      <c r="D23" s="22">
        <f t="shared" si="4"/>
        <v>598474</v>
      </c>
      <c r="E23" s="12">
        <f t="shared" si="0"/>
        <v>1.2902595722662986</v>
      </c>
      <c r="F23" s="22">
        <f t="shared" si="1"/>
        <v>250594</v>
      </c>
      <c r="G23" s="14">
        <f t="shared" si="5"/>
        <v>347880</v>
      </c>
      <c r="H23" s="27">
        <v>0</v>
      </c>
      <c r="I23" s="10">
        <v>0.75</v>
      </c>
      <c r="J23" s="21" t="str">
        <f t="shared" si="6"/>
        <v>Miscellaneous</v>
      </c>
      <c r="K23" s="162">
        <v>463840</v>
      </c>
      <c r="L23" s="162">
        <f>571488+15633+11353</f>
        <v>598474</v>
      </c>
      <c r="M23" s="163">
        <f t="shared" si="7"/>
        <v>1.2902595722662986</v>
      </c>
      <c r="N23" s="117">
        <f>519135+45000</f>
        <v>564135</v>
      </c>
      <c r="O23" s="118">
        <v>508163.77999999997</v>
      </c>
      <c r="P23" s="167">
        <f>574051+220348</f>
        <v>794399</v>
      </c>
      <c r="Q23" s="152">
        <f t="shared" si="8"/>
        <v>0.63968330775844373</v>
      </c>
      <c r="R23" s="118">
        <f>'FY 2009 Rev 01-04-10'!E25+'FY 2009 Rev 01-04-10'!E29+'FY 2009 Rev 01-04-10'!E32</f>
        <v>499810</v>
      </c>
      <c r="S23" s="118">
        <f>SUM('FY 2009 Rev 01-04-10'!F25:N25,'FY 2009 Rev 01-04-10'!F29:N29,'FY 2009 Rev 01-04-10'!F32:N32)</f>
        <v>450451.88</v>
      </c>
      <c r="T23" s="118">
        <f>'FY 2009 Rev 01-04-10'!D25+'FY 2009 Rev 01-04-10'!D29+'FY 2009 Rev 01-04-10'!D32</f>
        <v>837358.54999999993</v>
      </c>
      <c r="U23" s="152">
        <f t="shared" si="2"/>
        <v>0.53794384735189016</v>
      </c>
      <c r="V23" s="118">
        <f>'FY 2008 Rev 01-04-10'!E25+'FY 2008 Rev 01-04-10'!E29+'FY 2008 Rev 01-04-10'!E32</f>
        <v>500000</v>
      </c>
      <c r="W23" s="118">
        <f>SUM('FY 2008 Rev 01-04-10'!F25:N25,'FY 2008 Rev 01-04-10'!F29:N29,'FY 2008 Rev 01-04-10'!F32:N32)</f>
        <v>390143.99000000005</v>
      </c>
      <c r="X23" s="118">
        <f>'FY 2008 Rev 01-04-10'!D25+'FY 2008 Rev 01-04-10'!D29+'FY 2008 Rev 01-04-10'!D32</f>
        <v>2058982.75</v>
      </c>
      <c r="Y23" s="152">
        <f t="shared" si="3"/>
        <v>0.18948385555925618</v>
      </c>
    </row>
    <row r="24" spans="1:25" ht="15.75" customHeight="1" thickBot="1">
      <c r="A24" s="216" t="s">
        <v>28</v>
      </c>
      <c r="B24" s="216"/>
      <c r="C24" s="11">
        <f>SUM(C17:C23)</f>
        <v>152716319</v>
      </c>
      <c r="D24" s="11">
        <f>SUM(D17:D23)</f>
        <v>147725826</v>
      </c>
      <c r="E24" s="12">
        <f t="shared" si="0"/>
        <v>0.96732180926911948</v>
      </c>
      <c r="F24" s="17">
        <f>SUM(F17:F23)</f>
        <v>33188586.75</v>
      </c>
      <c r="G24" s="14">
        <f t="shared" si="5"/>
        <v>114537239.25</v>
      </c>
      <c r="H24" s="27"/>
      <c r="J24" s="21"/>
      <c r="K24" s="164">
        <f>SUM(K17:K23)</f>
        <v>152716319</v>
      </c>
      <c r="L24" s="160">
        <f>SUM(L17:L23)</f>
        <v>147725826</v>
      </c>
      <c r="M24" s="153">
        <f t="shared" si="7"/>
        <v>0.96732180926911948</v>
      </c>
      <c r="N24" s="116">
        <f>SUM(N17:N23)</f>
        <v>156957414</v>
      </c>
      <c r="O24" s="116">
        <f>SUM(O17:O23)</f>
        <v>146387183.31</v>
      </c>
      <c r="P24" s="116">
        <f>SUM(P17:P23)</f>
        <v>154207530</v>
      </c>
      <c r="Q24" s="153">
        <f t="shared" si="8"/>
        <v>0.94928686887080027</v>
      </c>
      <c r="R24" s="116">
        <f>SUM(R17:R23)</f>
        <v>150487306</v>
      </c>
      <c r="S24" s="116">
        <f>SUM(S17:S23)</f>
        <v>136833083.60000002</v>
      </c>
      <c r="T24" s="116">
        <f>SUM(T17:T23)</f>
        <v>145962457.22</v>
      </c>
      <c r="U24" s="153">
        <f t="shared" si="2"/>
        <v>0.93745396046436891</v>
      </c>
      <c r="V24" s="116">
        <f>SUM(V17:V23)</f>
        <v>136743194</v>
      </c>
      <c r="W24" s="116">
        <f>SUM(W17:W23)</f>
        <v>137030501.08000001</v>
      </c>
      <c r="X24" s="116">
        <f>SUM(X17:X23)</f>
        <v>148636236.78999999</v>
      </c>
      <c r="Y24" s="153">
        <f t="shared" si="3"/>
        <v>0.92191853103495158</v>
      </c>
    </row>
    <row r="25" spans="1:25" ht="22.5" customHeight="1" thickTop="1">
      <c r="J25" s="21"/>
      <c r="K25" s="26"/>
    </row>
    <row r="26" spans="1:25">
      <c r="J26" s="21"/>
      <c r="K26" s="26"/>
    </row>
    <row r="40" spans="1:30">
      <c r="J40" s="135"/>
      <c r="K40" s="135"/>
    </row>
    <row r="41" spans="1:30">
      <c r="J41" s="135"/>
      <c r="K41" s="135"/>
    </row>
    <row r="42" spans="1:30">
      <c r="J42" s="135"/>
      <c r="K42" s="135"/>
    </row>
    <row r="43" spans="1:30">
      <c r="J43" s="135"/>
      <c r="K43" s="135"/>
    </row>
    <row r="44" spans="1:30">
      <c r="J44" s="135"/>
      <c r="K44" s="135"/>
    </row>
    <row r="45" spans="1:30">
      <c r="J45" s="135"/>
      <c r="K45" s="135"/>
    </row>
    <row r="46" spans="1:30" ht="50.25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0" ht="12" customHeight="1">
      <c r="B47" s="18"/>
      <c r="C47" s="18"/>
      <c r="D47" s="18"/>
      <c r="E47" s="18"/>
      <c r="J47" s="135"/>
      <c r="K47" s="135"/>
    </row>
    <row r="48" spans="1:30" ht="36" customHeight="1">
      <c r="A48" s="217"/>
      <c r="B48" s="217"/>
      <c r="C48" s="19" t="s">
        <v>143</v>
      </c>
      <c r="D48" s="19" t="s">
        <v>163</v>
      </c>
      <c r="E48" s="19" t="s">
        <v>25</v>
      </c>
      <c r="F48" s="9" t="s">
        <v>48</v>
      </c>
      <c r="G48" s="10">
        <v>0.75</v>
      </c>
      <c r="H48" s="2" t="s">
        <v>45</v>
      </c>
      <c r="K48" s="154" t="s">
        <v>143</v>
      </c>
      <c r="L48" s="150" t="s">
        <v>167</v>
      </c>
      <c r="M48" s="151">
        <v>2011</v>
      </c>
      <c r="N48" s="150" t="s">
        <v>147</v>
      </c>
      <c r="O48" s="154" t="s">
        <v>99</v>
      </c>
      <c r="P48" s="150" t="s">
        <v>168</v>
      </c>
      <c r="Q48" s="151">
        <v>2010</v>
      </c>
      <c r="R48" s="150" t="s">
        <v>116</v>
      </c>
      <c r="S48" s="150" t="s">
        <v>1</v>
      </c>
      <c r="T48" s="150" t="s">
        <v>159</v>
      </c>
      <c r="U48" s="151">
        <v>2009</v>
      </c>
      <c r="V48" s="150" t="s">
        <v>118</v>
      </c>
      <c r="W48" s="150">
        <v>2009</v>
      </c>
      <c r="X48" s="150" t="s">
        <v>119</v>
      </c>
      <c r="Y48" s="150" t="s">
        <v>111</v>
      </c>
      <c r="Z48" s="150" t="s">
        <v>169</v>
      </c>
      <c r="AA48" s="151">
        <v>2008</v>
      </c>
      <c r="AB48" s="150" t="s">
        <v>121</v>
      </c>
      <c r="AC48" s="150">
        <v>2008</v>
      </c>
      <c r="AD48" s="150" t="s">
        <v>122</v>
      </c>
    </row>
    <row r="49" spans="1:30" ht="15.75" customHeight="1">
      <c r="A49" s="218" t="s">
        <v>30</v>
      </c>
      <c r="B49" s="219"/>
      <c r="C49" s="11">
        <f>K49</f>
        <v>315395</v>
      </c>
      <c r="D49" s="11">
        <f>L49</f>
        <v>213324</v>
      </c>
      <c r="E49" s="12">
        <f t="shared" ref="E49:E60" si="9">(D49/C49)</f>
        <v>0.6763708999825615</v>
      </c>
      <c r="F49" s="11">
        <f>+G49-D49</f>
        <v>23222.25</v>
      </c>
      <c r="G49" s="23">
        <f>C49*0.75</f>
        <v>236546.25</v>
      </c>
      <c r="H49" s="24">
        <f t="shared" ref="H49:H57" si="10">C49-D49</f>
        <v>102071</v>
      </c>
      <c r="I49" s="1">
        <v>0.75</v>
      </c>
      <c r="J49" s="135" t="s">
        <v>30</v>
      </c>
      <c r="K49" s="13">
        <v>315395</v>
      </c>
      <c r="L49" s="13">
        <v>213324</v>
      </c>
      <c r="M49" s="155">
        <f t="shared" ref="M49:M60" si="11">(L49/K49)</f>
        <v>0.6763708999825615</v>
      </c>
      <c r="N49" s="13">
        <f>K49-L49</f>
        <v>102071</v>
      </c>
      <c r="O49" s="13">
        <v>302496</v>
      </c>
      <c r="P49" s="13">
        <v>200368.58</v>
      </c>
      <c r="Q49" s="155">
        <f t="shared" ref="Q49:Q60" si="12">(P49/O49)</f>
        <v>0.66238422987411405</v>
      </c>
      <c r="R49" s="13">
        <f>O49-P49</f>
        <v>102127.42000000001</v>
      </c>
      <c r="S49" s="13">
        <f>'FY 2009 Exp 01-06-10'!C2</f>
        <v>307595</v>
      </c>
      <c r="T49" s="13">
        <f>SUM('FY 2009 Exp 01-06-10'!F2:N2)</f>
        <v>188469.08000000002</v>
      </c>
      <c r="U49" s="155">
        <f>T49/S49</f>
        <v>0.61271828215673207</v>
      </c>
      <c r="V49" s="13">
        <f>'FY 2009 Exp 01-06-10'!D2</f>
        <v>307595</v>
      </c>
      <c r="W49" s="155">
        <f>T49/V49</f>
        <v>0.61271828215673207</v>
      </c>
      <c r="X49" s="13">
        <f>S49-T49</f>
        <v>119125.91999999998</v>
      </c>
      <c r="Y49" s="13">
        <f>'FY 2008 Exp 01-06-10'!C2</f>
        <v>326242</v>
      </c>
      <c r="Z49" s="13">
        <f>SUM('FY 2008 Exp 01-06-10'!F2:N2)</f>
        <v>199774.1</v>
      </c>
      <c r="AA49" s="155">
        <f>Z49/Y49</f>
        <v>0.61234942159501227</v>
      </c>
      <c r="AB49" s="13">
        <f>'FY 2008 Exp 01-06-10'!D2</f>
        <v>326266</v>
      </c>
      <c r="AC49" s="155">
        <f>Z49/AB49</f>
        <v>0.61230437740984356</v>
      </c>
      <c r="AD49" s="13">
        <f>Y49-Z49</f>
        <v>126467.9</v>
      </c>
    </row>
    <row r="50" spans="1:30" ht="15.75" customHeight="1">
      <c r="A50" s="218" t="s">
        <v>123</v>
      </c>
      <c r="B50" s="219"/>
      <c r="C50" s="22">
        <f t="shared" ref="C50:D59" si="13">K50</f>
        <v>376370</v>
      </c>
      <c r="D50" s="22">
        <f t="shared" si="13"/>
        <v>325973</v>
      </c>
      <c r="E50" s="12">
        <f t="shared" si="9"/>
        <v>0.86609719159337883</v>
      </c>
      <c r="F50" s="22">
        <f t="shared" ref="F50:F60" si="14">+G50-D50</f>
        <v>-43695.5</v>
      </c>
      <c r="G50" s="23">
        <f t="shared" ref="G50:G60" si="15">C50*0.75</f>
        <v>282277.5</v>
      </c>
      <c r="H50" s="25">
        <f t="shared" si="10"/>
        <v>50397</v>
      </c>
      <c r="I50" s="1">
        <v>0.75</v>
      </c>
      <c r="J50" s="135" t="s">
        <v>123</v>
      </c>
      <c r="K50" s="156">
        <v>376370</v>
      </c>
      <c r="L50" s="156">
        <v>325973</v>
      </c>
      <c r="M50" s="155">
        <f t="shared" si="11"/>
        <v>0.86609719159337883</v>
      </c>
      <c r="N50" s="156">
        <f t="shared" ref="N50:N59" si="16">K50-L50</f>
        <v>50397</v>
      </c>
      <c r="O50" s="156">
        <v>411370</v>
      </c>
      <c r="P50" s="156">
        <v>383143.79</v>
      </c>
      <c r="Q50" s="155">
        <f t="shared" si="12"/>
        <v>0.9313848603447018</v>
      </c>
      <c r="R50" s="156">
        <f t="shared" ref="R50:R59" si="17">O50-P50</f>
        <v>28226.210000000021</v>
      </c>
      <c r="S50" s="156">
        <f>'FY 2009 Exp 01-06-10'!C3</f>
        <v>510370</v>
      </c>
      <c r="T50" s="156">
        <f>SUM('FY 2009 Exp 01-06-10'!F3:N3)</f>
        <v>460181.56999999995</v>
      </c>
      <c r="U50" s="155">
        <f t="shared" ref="U50:U60" si="18">T50/S50</f>
        <v>0.90166265650410482</v>
      </c>
      <c r="V50" s="156">
        <f>'FY 2009 Exp 01-06-10'!D3</f>
        <v>575162</v>
      </c>
      <c r="W50" s="155">
        <f t="shared" ref="W50:W60" si="19">T50/V50</f>
        <v>0.8000903571515503</v>
      </c>
      <c r="X50" s="13">
        <f t="shared" ref="X50:X59" si="20">S50-T50</f>
        <v>50188.430000000051</v>
      </c>
      <c r="Y50" s="156">
        <f>'FY 2008 Exp 01-06-10'!C3</f>
        <v>461110</v>
      </c>
      <c r="Z50" s="156">
        <f>SUM('FY 2008 Exp 01-06-10'!F3:N3)</f>
        <v>411452.24000000005</v>
      </c>
      <c r="AA50" s="155">
        <f t="shared" ref="AA50:AA60" si="21">Z50/Y50</f>
        <v>0.89230821279087436</v>
      </c>
      <c r="AB50" s="156">
        <f>'FY 2008 Exp 01-06-10'!D3</f>
        <v>497765</v>
      </c>
      <c r="AC50" s="155">
        <f t="shared" ref="AC50:AC60" si="22">Z50/AB50</f>
        <v>0.82659937922513649</v>
      </c>
      <c r="AD50" s="13">
        <f t="shared" ref="AD50:AD59" si="23">Y50-Z50</f>
        <v>49657.759999999951</v>
      </c>
    </row>
    <row r="51" spans="1:30" ht="15.75" customHeight="1">
      <c r="A51" s="218" t="s">
        <v>31</v>
      </c>
      <c r="B51" s="219"/>
      <c r="C51" s="22">
        <f t="shared" si="13"/>
        <v>2892101</v>
      </c>
      <c r="D51" s="22">
        <f t="shared" si="13"/>
        <v>1951047</v>
      </c>
      <c r="E51" s="12">
        <f t="shared" si="9"/>
        <v>0.67461233200361947</v>
      </c>
      <c r="F51" s="28">
        <f t="shared" si="14"/>
        <v>218028.75</v>
      </c>
      <c r="G51" s="23">
        <f t="shared" si="15"/>
        <v>2169075.75</v>
      </c>
      <c r="H51" s="25">
        <f t="shared" si="10"/>
        <v>941054</v>
      </c>
      <c r="I51" s="1">
        <v>0.75</v>
      </c>
      <c r="J51" s="135" t="s">
        <v>31</v>
      </c>
      <c r="K51" s="156">
        <v>2892101</v>
      </c>
      <c r="L51" s="156">
        <v>1951047</v>
      </c>
      <c r="M51" s="155">
        <f t="shared" si="11"/>
        <v>0.67461233200361947</v>
      </c>
      <c r="N51" s="156">
        <f t="shared" si="16"/>
        <v>941054</v>
      </c>
      <c r="O51" s="156">
        <v>3263326</v>
      </c>
      <c r="P51" s="156">
        <v>2193821.02</v>
      </c>
      <c r="Q51" s="155">
        <f t="shared" si="12"/>
        <v>0.67226535749109961</v>
      </c>
      <c r="R51" s="156">
        <f t="shared" si="17"/>
        <v>1069504.98</v>
      </c>
      <c r="S51" s="156">
        <f>'FY 2009 Exp 01-06-10'!C5</f>
        <v>3360551</v>
      </c>
      <c r="T51" s="156">
        <f>SUM('FY 2009 Exp 01-06-10'!F5:N5)</f>
        <v>2129539.5900000003</v>
      </c>
      <c r="U51" s="155">
        <f t="shared" si="18"/>
        <v>0.63368762741586138</v>
      </c>
      <c r="V51" s="156">
        <f>'FY 2009 Exp 01-06-10'!D5</f>
        <v>3258569</v>
      </c>
      <c r="W51" s="155">
        <f t="shared" si="19"/>
        <v>0.65351987022524316</v>
      </c>
      <c r="X51" s="13">
        <f t="shared" si="20"/>
        <v>1231011.4099999997</v>
      </c>
      <c r="Y51" s="156">
        <f>'FY 2008 Exp 01-06-10'!C5</f>
        <v>2433415</v>
      </c>
      <c r="Z51" s="156">
        <f>SUM('FY 2008 Exp 01-06-10'!F5:N5)</f>
        <v>2055582.9600000002</v>
      </c>
      <c r="AA51" s="155">
        <f t="shared" si="21"/>
        <v>0.84473176996114518</v>
      </c>
      <c r="AB51" s="156">
        <f>'FY 2008 Exp 01-06-10'!D5</f>
        <v>3116351</v>
      </c>
      <c r="AC51" s="155">
        <f t="shared" si="22"/>
        <v>0.65961214253465039</v>
      </c>
      <c r="AD51" s="13">
        <f t="shared" si="23"/>
        <v>377832.0399999998</v>
      </c>
    </row>
    <row r="52" spans="1:30" ht="15.75" customHeight="1">
      <c r="A52" s="218" t="s">
        <v>15</v>
      </c>
      <c r="B52" s="219"/>
      <c r="C52" s="22">
        <f t="shared" si="13"/>
        <v>10586321</v>
      </c>
      <c r="D52" s="22">
        <f t="shared" si="13"/>
        <v>7523615</v>
      </c>
      <c r="E52" s="12">
        <f t="shared" si="9"/>
        <v>0.71069212807735571</v>
      </c>
      <c r="F52" s="28">
        <f t="shared" si="14"/>
        <v>416125.75</v>
      </c>
      <c r="G52" s="23">
        <f t="shared" si="15"/>
        <v>7939740.75</v>
      </c>
      <c r="H52" s="25">
        <f t="shared" si="10"/>
        <v>3062706</v>
      </c>
      <c r="I52" s="1">
        <v>0.75</v>
      </c>
      <c r="J52" s="135" t="s">
        <v>15</v>
      </c>
      <c r="K52" s="156">
        <v>10586321</v>
      </c>
      <c r="L52" s="156">
        <v>7523615</v>
      </c>
      <c r="M52" s="155">
        <f t="shared" si="11"/>
        <v>0.71069212807735571</v>
      </c>
      <c r="N52" s="156">
        <f t="shared" si="16"/>
        <v>3062706</v>
      </c>
      <c r="O52" s="156">
        <v>10604579</v>
      </c>
      <c r="P52" s="156">
        <v>7648186.1399999997</v>
      </c>
      <c r="Q52" s="155">
        <f t="shared" si="12"/>
        <v>0.7212154428761387</v>
      </c>
      <c r="R52" s="156">
        <f t="shared" si="17"/>
        <v>2956392.8600000003</v>
      </c>
      <c r="S52" s="156">
        <f>'FY 2009 Exp 01-06-10'!C6</f>
        <v>10906229</v>
      </c>
      <c r="T52" s="156">
        <f>SUM('FY 2009 Exp 01-06-10'!F6:N6)</f>
        <v>7281216.5200000005</v>
      </c>
      <c r="U52" s="155">
        <f t="shared" si="18"/>
        <v>0.66761999220812263</v>
      </c>
      <c r="V52" s="156">
        <f>'FY 2009 Exp 01-06-10'!D6</f>
        <v>11732575</v>
      </c>
      <c r="W52" s="155">
        <f t="shared" si="19"/>
        <v>0.62059833582994361</v>
      </c>
      <c r="X52" s="13">
        <f t="shared" si="20"/>
        <v>3625012.4799999995</v>
      </c>
      <c r="Y52" s="156">
        <f>'FY 2008 Exp 01-06-10'!C6</f>
        <v>9925189</v>
      </c>
      <c r="Z52" s="156">
        <f>SUM('FY 2008 Exp 01-06-10'!F6:N6)</f>
        <v>6768344.6200000001</v>
      </c>
      <c r="AA52" s="155">
        <f t="shared" si="21"/>
        <v>0.68193609411367384</v>
      </c>
      <c r="AB52" s="156">
        <f>'FY 2008 Exp 01-06-10'!D6</f>
        <v>10190881</v>
      </c>
      <c r="AC52" s="155">
        <f t="shared" si="22"/>
        <v>0.6641569673907487</v>
      </c>
      <c r="AD52" s="13">
        <f t="shared" si="23"/>
        <v>3156844.38</v>
      </c>
    </row>
    <row r="53" spans="1:30" ht="15.75" customHeight="1">
      <c r="A53" s="218" t="s">
        <v>14</v>
      </c>
      <c r="B53" s="219"/>
      <c r="C53" s="22">
        <f t="shared" si="13"/>
        <v>36594199</v>
      </c>
      <c r="D53" s="22">
        <f t="shared" si="13"/>
        <v>21877963</v>
      </c>
      <c r="E53" s="12">
        <f t="shared" si="9"/>
        <v>0.59785331002872888</v>
      </c>
      <c r="F53" s="22">
        <f t="shared" si="14"/>
        <v>5567686.25</v>
      </c>
      <c r="G53" s="23">
        <f t="shared" si="15"/>
        <v>27445649.25</v>
      </c>
      <c r="H53" s="25">
        <f t="shared" si="10"/>
        <v>14716236</v>
      </c>
      <c r="I53" s="1">
        <v>0.75</v>
      </c>
      <c r="J53" s="135" t="s">
        <v>151</v>
      </c>
      <c r="K53" s="156">
        <v>36594199</v>
      </c>
      <c r="L53" s="156">
        <v>21877963</v>
      </c>
      <c r="M53" s="155">
        <f t="shared" si="11"/>
        <v>0.59785331002872888</v>
      </c>
      <c r="N53" s="156">
        <f t="shared" si="16"/>
        <v>14716236</v>
      </c>
      <c r="O53" s="156">
        <v>36033186</v>
      </c>
      <c r="P53" s="156">
        <v>19505690.91</v>
      </c>
      <c r="Q53" s="155">
        <f t="shared" si="12"/>
        <v>0.54132573539292361</v>
      </c>
      <c r="R53" s="156">
        <f t="shared" si="17"/>
        <v>16527495.09</v>
      </c>
      <c r="S53" s="156">
        <f>'FY 2009 Exp 01-06-10'!C7</f>
        <v>34955768</v>
      </c>
      <c r="T53" s="156">
        <f>SUM('FY 2009 Exp 01-06-10'!F7:N7)</f>
        <v>18757224.559999999</v>
      </c>
      <c r="U53" s="155">
        <f t="shared" si="18"/>
        <v>0.5365988399968783</v>
      </c>
      <c r="V53" s="156">
        <f>'FY 2009 Exp 01-06-10'!D7</f>
        <v>31765451</v>
      </c>
      <c r="W53" s="155">
        <f t="shared" si="19"/>
        <v>0.59049136623308129</v>
      </c>
      <c r="X53" s="13">
        <f t="shared" si="20"/>
        <v>16198543.440000001</v>
      </c>
      <c r="Y53" s="156">
        <f>'FY 2008 Exp 01-06-10'!C7</f>
        <v>33931130</v>
      </c>
      <c r="Z53" s="156">
        <f>SUM('FY 2008 Exp 01-06-10'!F7:N7)</f>
        <v>16570877.930000002</v>
      </c>
      <c r="AA53" s="155">
        <f t="shared" si="21"/>
        <v>0.48836799511245282</v>
      </c>
      <c r="AB53" s="156">
        <f>'FY 2008 Exp 01-06-10'!D7</f>
        <v>30400731</v>
      </c>
      <c r="AC53" s="155">
        <f t="shared" si="22"/>
        <v>0.54508156169007915</v>
      </c>
      <c r="AD53" s="13">
        <f t="shared" si="23"/>
        <v>17360252.07</v>
      </c>
    </row>
    <row r="54" spans="1:30" ht="15.75" customHeight="1">
      <c r="A54" s="218" t="s">
        <v>124</v>
      </c>
      <c r="B54" s="219"/>
      <c r="C54" s="22">
        <f t="shared" si="13"/>
        <v>12350821</v>
      </c>
      <c r="D54" s="22">
        <f t="shared" si="13"/>
        <v>8726451</v>
      </c>
      <c r="E54" s="12">
        <f t="shared" si="9"/>
        <v>0.70654825294609969</v>
      </c>
      <c r="F54" s="28">
        <f t="shared" si="14"/>
        <v>536664.75</v>
      </c>
      <c r="G54" s="23">
        <f t="shared" si="15"/>
        <v>9263115.75</v>
      </c>
      <c r="H54" s="25">
        <f t="shared" si="10"/>
        <v>3624370</v>
      </c>
      <c r="I54" s="1">
        <v>0.75</v>
      </c>
      <c r="J54" s="135" t="s">
        <v>124</v>
      </c>
      <c r="K54" s="156">
        <v>12350821</v>
      </c>
      <c r="L54" s="156">
        <v>8726451</v>
      </c>
      <c r="M54" s="155">
        <f t="shared" si="11"/>
        <v>0.70654825294609969</v>
      </c>
      <c r="N54" s="156">
        <f t="shared" si="16"/>
        <v>3624370</v>
      </c>
      <c r="O54" s="156">
        <v>11603014</v>
      </c>
      <c r="P54" s="156">
        <v>7927464.3200000003</v>
      </c>
      <c r="Q54" s="155">
        <f t="shared" si="12"/>
        <v>0.68322457595931541</v>
      </c>
      <c r="R54" s="156">
        <f t="shared" si="17"/>
        <v>3675549.6799999997</v>
      </c>
      <c r="S54" s="156">
        <f>'FY 2009 Exp 01-06-10'!C8</f>
        <v>11138553</v>
      </c>
      <c r="T54" s="156">
        <f>SUM('FY 2009 Exp 01-06-10'!F8:N8)</f>
        <v>8118866.5700000003</v>
      </c>
      <c r="U54" s="155">
        <f t="shared" si="18"/>
        <v>0.72889778142636663</v>
      </c>
      <c r="V54" s="156">
        <f>'FY 2009 Exp 01-06-10'!D8</f>
        <v>12178567</v>
      </c>
      <c r="W54" s="155">
        <f t="shared" si="19"/>
        <v>0.66665204288813296</v>
      </c>
      <c r="X54" s="13">
        <f t="shared" si="20"/>
        <v>3019686.4299999997</v>
      </c>
      <c r="Y54" s="156">
        <f>'FY 2008 Exp 01-06-10'!C8</f>
        <v>10691922</v>
      </c>
      <c r="Z54" s="156">
        <f>SUM('FY 2008 Exp 01-06-10'!F8:N8)</f>
        <v>7861356.0700000003</v>
      </c>
      <c r="AA54" s="155">
        <f t="shared" si="21"/>
        <v>0.73526126266166181</v>
      </c>
      <c r="AB54" s="156">
        <f>'FY 2008 Exp 01-06-10'!D8</f>
        <v>11576518</v>
      </c>
      <c r="AC54" s="155">
        <f t="shared" si="22"/>
        <v>0.67907777364489053</v>
      </c>
      <c r="AD54" s="13">
        <f t="shared" si="23"/>
        <v>2830565.9299999997</v>
      </c>
    </row>
    <row r="55" spans="1:30" ht="15.75" customHeight="1">
      <c r="A55" s="218" t="s">
        <v>32</v>
      </c>
      <c r="B55" s="219"/>
      <c r="C55" s="22">
        <f t="shared" si="13"/>
        <v>14589387</v>
      </c>
      <c r="D55" s="22">
        <f t="shared" si="13"/>
        <v>10482485</v>
      </c>
      <c r="E55" s="12">
        <f t="shared" si="9"/>
        <v>0.71850071562293882</v>
      </c>
      <c r="F55" s="28">
        <f t="shared" si="14"/>
        <v>459555.25</v>
      </c>
      <c r="G55" s="23">
        <f t="shared" si="15"/>
        <v>10942040.25</v>
      </c>
      <c r="H55" s="25">
        <f t="shared" si="10"/>
        <v>4106902</v>
      </c>
      <c r="I55" s="1">
        <v>0.75</v>
      </c>
      <c r="J55" s="135" t="s">
        <v>32</v>
      </c>
      <c r="K55" s="156">
        <v>14589387</v>
      </c>
      <c r="L55" s="156">
        <v>10482485</v>
      </c>
      <c r="M55" s="155">
        <f t="shared" si="11"/>
        <v>0.71850071562293882</v>
      </c>
      <c r="N55" s="156">
        <f t="shared" si="16"/>
        <v>4106902</v>
      </c>
      <c r="O55" s="156">
        <v>14742575</v>
      </c>
      <c r="P55" s="156">
        <v>10275613.33</v>
      </c>
      <c r="Q55" s="155">
        <f t="shared" si="12"/>
        <v>0.69700261521477758</v>
      </c>
      <c r="R55" s="156">
        <f t="shared" si="17"/>
        <v>4466961.67</v>
      </c>
      <c r="S55" s="156">
        <f>'FY 2009 Exp 01-06-10'!C9</f>
        <v>14546174</v>
      </c>
      <c r="T55" s="156">
        <f>SUM('FY 2009 Exp 01-06-10'!F9:N9)</f>
        <v>9790971.8100000005</v>
      </c>
      <c r="U55" s="155">
        <f t="shared" si="18"/>
        <v>0.67309601892566395</v>
      </c>
      <c r="V55" s="156">
        <f>'FY 2009 Exp 01-06-10'!D9</f>
        <v>14631394</v>
      </c>
      <c r="W55" s="155">
        <f t="shared" si="19"/>
        <v>0.66917559666563564</v>
      </c>
      <c r="X55" s="13">
        <f t="shared" si="20"/>
        <v>4755202.1899999995</v>
      </c>
      <c r="Y55" s="156">
        <f>'FY 2008 Exp 01-06-10'!C9</f>
        <v>13877308</v>
      </c>
      <c r="Z55" s="156">
        <f>SUM('FY 2008 Exp 01-06-10'!F9:N9)</f>
        <v>9720455.1499999985</v>
      </c>
      <c r="AA55" s="155">
        <f t="shared" si="21"/>
        <v>0.70045682851457924</v>
      </c>
      <c r="AB55" s="156">
        <f>'FY 2008 Exp 01-06-10'!D9</f>
        <v>14249804</v>
      </c>
      <c r="AC55" s="155">
        <f t="shared" si="22"/>
        <v>0.68214658601620048</v>
      </c>
      <c r="AD55" s="13">
        <f t="shared" si="23"/>
        <v>4156852.8500000015</v>
      </c>
    </row>
    <row r="56" spans="1:30" ht="15.75" customHeight="1">
      <c r="A56" s="218" t="s">
        <v>33</v>
      </c>
      <c r="B56" s="219"/>
      <c r="C56" s="22">
        <f t="shared" si="13"/>
        <v>10895570</v>
      </c>
      <c r="D56" s="22">
        <f t="shared" si="13"/>
        <v>7778427</v>
      </c>
      <c r="E56" s="12">
        <f t="shared" si="9"/>
        <v>0.71390730361054999</v>
      </c>
      <c r="F56" s="28">
        <f t="shared" si="14"/>
        <v>393250.5</v>
      </c>
      <c r="G56" s="23">
        <f t="shared" si="15"/>
        <v>8171677.5</v>
      </c>
      <c r="H56" s="25">
        <f t="shared" si="10"/>
        <v>3117143</v>
      </c>
      <c r="I56" s="1">
        <v>0.75</v>
      </c>
      <c r="J56" s="135" t="s">
        <v>33</v>
      </c>
      <c r="K56" s="156">
        <v>10895570</v>
      </c>
      <c r="L56" s="156">
        <v>7778427</v>
      </c>
      <c r="M56" s="155">
        <f t="shared" si="11"/>
        <v>0.71390730361054999</v>
      </c>
      <c r="N56" s="156">
        <f t="shared" si="16"/>
        <v>3117143</v>
      </c>
      <c r="O56" s="156">
        <v>10775827</v>
      </c>
      <c r="P56" s="156">
        <v>7817873.0199999996</v>
      </c>
      <c r="Q56" s="155">
        <f t="shared" si="12"/>
        <v>0.72550097732638053</v>
      </c>
      <c r="R56" s="156">
        <f t="shared" si="17"/>
        <v>2957953.9800000004</v>
      </c>
      <c r="S56" s="156">
        <f>'FY 2009 Exp 01-06-10'!C10</f>
        <v>10460745</v>
      </c>
      <c r="T56" s="156">
        <f>SUM('FY 2009 Exp 01-06-10'!F10:N10)</f>
        <v>7216833.1699999999</v>
      </c>
      <c r="U56" s="155">
        <f t="shared" si="18"/>
        <v>0.68989667275131938</v>
      </c>
      <c r="V56" s="156">
        <f>'FY 2009 Exp 01-06-10'!D10</f>
        <v>10518776</v>
      </c>
      <c r="W56" s="155">
        <f t="shared" si="19"/>
        <v>0.68609058411358892</v>
      </c>
      <c r="X56" s="13">
        <f t="shared" si="20"/>
        <v>3243911.83</v>
      </c>
      <c r="Y56" s="156">
        <f>'FY 2008 Exp 01-06-10'!C10</f>
        <v>10121330</v>
      </c>
      <c r="Z56" s="156">
        <f>SUM('FY 2008 Exp 01-06-10'!F10:N10)</f>
        <v>7074690.3800000008</v>
      </c>
      <c r="AA56" s="155">
        <f t="shared" si="21"/>
        <v>0.69898821399954358</v>
      </c>
      <c r="AB56" s="156">
        <f>'FY 2008 Exp 01-06-10'!D10</f>
        <v>10185578</v>
      </c>
      <c r="AC56" s="155">
        <f t="shared" si="22"/>
        <v>0.69457917655728529</v>
      </c>
      <c r="AD56" s="13">
        <f t="shared" si="23"/>
        <v>3046639.6199999992</v>
      </c>
    </row>
    <row r="57" spans="1:30" ht="15.75" customHeight="1">
      <c r="A57" s="218" t="s">
        <v>34</v>
      </c>
      <c r="B57" s="219"/>
      <c r="C57" s="22">
        <f t="shared" si="13"/>
        <v>10218116</v>
      </c>
      <c r="D57" s="22">
        <f t="shared" si="13"/>
        <v>7000135</v>
      </c>
      <c r="E57" s="12">
        <f t="shared" si="9"/>
        <v>0.68507100526163534</v>
      </c>
      <c r="F57" s="28">
        <f t="shared" si="14"/>
        <v>663452</v>
      </c>
      <c r="G57" s="23">
        <f t="shared" si="15"/>
        <v>7663587</v>
      </c>
      <c r="H57" s="25">
        <f t="shared" si="10"/>
        <v>3217981</v>
      </c>
      <c r="I57" s="1">
        <v>0.75</v>
      </c>
      <c r="J57" s="135" t="s">
        <v>34</v>
      </c>
      <c r="K57" s="156">
        <v>10218116</v>
      </c>
      <c r="L57" s="156">
        <v>7000135</v>
      </c>
      <c r="M57" s="155">
        <f t="shared" si="11"/>
        <v>0.68507100526163534</v>
      </c>
      <c r="N57" s="156">
        <f t="shared" si="16"/>
        <v>3217981</v>
      </c>
      <c r="O57" s="156">
        <v>10781064</v>
      </c>
      <c r="P57" s="156">
        <v>6861788.5899999999</v>
      </c>
      <c r="Q57" s="155">
        <f t="shared" si="12"/>
        <v>0.63646673371014217</v>
      </c>
      <c r="R57" s="156">
        <f t="shared" si="17"/>
        <v>3919275.41</v>
      </c>
      <c r="S57" s="156">
        <f>'FY 2009 Exp 01-06-10'!C11</f>
        <v>10829424</v>
      </c>
      <c r="T57" s="156">
        <f>SUM('FY 2009 Exp 01-06-10'!F11:N11)</f>
        <v>6973239.3600000003</v>
      </c>
      <c r="U57" s="155">
        <f t="shared" si="18"/>
        <v>0.64391599774835673</v>
      </c>
      <c r="V57" s="156">
        <f>'FY 2009 Exp 01-06-10'!D11</f>
        <v>11207054</v>
      </c>
      <c r="W57" s="155">
        <f t="shared" si="19"/>
        <v>0.62221877042798224</v>
      </c>
      <c r="X57" s="13">
        <f t="shared" si="20"/>
        <v>3856184.6399999997</v>
      </c>
      <c r="Y57" s="156">
        <f>'FY 2008 Exp 01-06-10'!C11</f>
        <v>10503495</v>
      </c>
      <c r="Z57" s="156">
        <f>SUM('FY 2008 Exp 01-06-10'!F11:N11)</f>
        <v>7069854.6399999987</v>
      </c>
      <c r="AA57" s="155">
        <f t="shared" si="21"/>
        <v>0.67309544489715079</v>
      </c>
      <c r="AB57" s="156">
        <f>'FY 2008 Exp 01-06-10'!D11</f>
        <v>11177385</v>
      </c>
      <c r="AC57" s="155">
        <f t="shared" si="22"/>
        <v>0.63251419182572655</v>
      </c>
      <c r="AD57" s="13">
        <f t="shared" si="23"/>
        <v>3433640.3600000013</v>
      </c>
    </row>
    <row r="58" spans="1:30" ht="15.75" customHeight="1">
      <c r="A58" s="218" t="s">
        <v>35</v>
      </c>
      <c r="B58" s="219"/>
      <c r="C58" s="22">
        <f t="shared" si="13"/>
        <v>45505343</v>
      </c>
      <c r="D58" s="22">
        <f t="shared" si="13"/>
        <v>33556214</v>
      </c>
      <c r="E58" s="12">
        <f t="shared" si="9"/>
        <v>0.73741261548121939</v>
      </c>
      <c r="F58" s="28">
        <f t="shared" si="14"/>
        <v>572793.25</v>
      </c>
      <c r="G58" s="23">
        <f t="shared" si="15"/>
        <v>34129007.25</v>
      </c>
      <c r="H58" s="25">
        <f>C58-D58</f>
        <v>11949129</v>
      </c>
      <c r="I58" s="1">
        <v>0.75</v>
      </c>
      <c r="J58" s="135" t="s">
        <v>35</v>
      </c>
      <c r="K58" s="156">
        <v>45505343</v>
      </c>
      <c r="L58" s="156">
        <v>33556214</v>
      </c>
      <c r="M58" s="155">
        <f t="shared" si="11"/>
        <v>0.73741261548121939</v>
      </c>
      <c r="N58" s="156">
        <f t="shared" si="16"/>
        <v>11949129</v>
      </c>
      <c r="O58" s="156">
        <v>45971504</v>
      </c>
      <c r="P58" s="156">
        <v>33909150.039999999</v>
      </c>
      <c r="Q58" s="155">
        <f t="shared" si="12"/>
        <v>0.7376123704806351</v>
      </c>
      <c r="R58" s="156">
        <f t="shared" si="17"/>
        <v>12062353.960000001</v>
      </c>
      <c r="S58" s="156">
        <f>'FY 2009 Exp 01-06-10'!C12</f>
        <v>44763416</v>
      </c>
      <c r="T58" s="156">
        <f>SUM('FY 2009 Exp 01-06-10'!F12:N12)</f>
        <v>32122715.57</v>
      </c>
      <c r="U58" s="155">
        <f t="shared" si="18"/>
        <v>0.71761090730877197</v>
      </c>
      <c r="V58" s="156">
        <f>'FY 2009 Exp 01-06-10'!D12</f>
        <v>45148643</v>
      </c>
      <c r="W58" s="155">
        <f t="shared" si="19"/>
        <v>0.71148795258364683</v>
      </c>
      <c r="X58" s="13">
        <f t="shared" si="20"/>
        <v>12640700.43</v>
      </c>
      <c r="Y58" s="156">
        <f>'FY 2008 Exp 01-06-10'!C12</f>
        <v>44214975</v>
      </c>
      <c r="Z58" s="156">
        <f>SUM('FY 2008 Exp 01-06-10'!F12:N12)</f>
        <v>31608996.940000005</v>
      </c>
      <c r="AA58" s="155">
        <f t="shared" si="21"/>
        <v>0.71489347082068921</v>
      </c>
      <c r="AB58" s="156">
        <f>'FY 2008 Exp 01-06-10'!D12</f>
        <v>44791732</v>
      </c>
      <c r="AC58" s="155">
        <f t="shared" si="22"/>
        <v>0.70568820468920479</v>
      </c>
      <c r="AD58" s="13">
        <f t="shared" si="23"/>
        <v>12605978.059999995</v>
      </c>
    </row>
    <row r="59" spans="1:30" ht="15.75" customHeight="1" thickBot="1">
      <c r="A59" s="218" t="s">
        <v>36</v>
      </c>
      <c r="B59" s="219"/>
      <c r="C59" s="22">
        <f t="shared" si="13"/>
        <v>9355000</v>
      </c>
      <c r="D59" s="22">
        <f t="shared" si="13"/>
        <v>9430590</v>
      </c>
      <c r="E59" s="12">
        <f t="shared" si="9"/>
        <v>1.0080801710315339</v>
      </c>
      <c r="F59" s="22">
        <f t="shared" si="14"/>
        <v>-2414340</v>
      </c>
      <c r="G59" s="23">
        <f t="shared" si="15"/>
        <v>7016250</v>
      </c>
      <c r="H59" s="25">
        <v>0</v>
      </c>
      <c r="I59" s="1">
        <v>0.75</v>
      </c>
      <c r="J59" s="135" t="s">
        <v>36</v>
      </c>
      <c r="K59" s="158">
        <v>9355000</v>
      </c>
      <c r="L59" s="158">
        <v>9430590</v>
      </c>
      <c r="M59" s="152">
        <f t="shared" si="11"/>
        <v>1.0080801710315339</v>
      </c>
      <c r="N59" s="158">
        <f t="shared" si="16"/>
        <v>-75590</v>
      </c>
      <c r="O59" s="158">
        <v>8370000</v>
      </c>
      <c r="P59" s="158">
        <v>8420000</v>
      </c>
      <c r="Q59" s="152">
        <f t="shared" si="12"/>
        <v>1.005973715651135</v>
      </c>
      <c r="R59" s="158">
        <f t="shared" si="17"/>
        <v>-50000</v>
      </c>
      <c r="S59" s="158">
        <f>'FY 2009 Exp 01-06-10'!C14</f>
        <v>8707782</v>
      </c>
      <c r="T59" s="158">
        <f>SUM('FY 2009 Exp 01-06-10'!F14:N14)</f>
        <v>8762345</v>
      </c>
      <c r="U59" s="152">
        <f t="shared" si="18"/>
        <v>1.0062660043625347</v>
      </c>
      <c r="V59" s="158">
        <f>'FY 2009 Exp 01-06-10'!D14</f>
        <v>13464262</v>
      </c>
      <c r="W59" s="152">
        <f t="shared" si="19"/>
        <v>0.65078539024270321</v>
      </c>
      <c r="X59" s="159">
        <f t="shared" si="20"/>
        <v>-54563</v>
      </c>
      <c r="Y59" s="158">
        <f>'FY 2008 Exp 01-06-10'!C14</f>
        <v>9046853</v>
      </c>
      <c r="Z59" s="158">
        <f>SUM('FY 2008 Exp 01-06-10'!F14:N14)</f>
        <v>8086390</v>
      </c>
      <c r="AA59" s="152">
        <f t="shared" si="21"/>
        <v>0.89383457429893021</v>
      </c>
      <c r="AB59" s="158">
        <f>'FY 2008 Exp 01-06-10'!D14</f>
        <v>19089565</v>
      </c>
      <c r="AC59" s="152">
        <f t="shared" si="22"/>
        <v>0.42360263316633984</v>
      </c>
      <c r="AD59" s="159">
        <f t="shared" si="23"/>
        <v>960463</v>
      </c>
    </row>
    <row r="60" spans="1:30" ht="15.75" customHeight="1" thickBot="1">
      <c r="A60" s="220" t="s">
        <v>28</v>
      </c>
      <c r="B60" s="221"/>
      <c r="C60" s="20">
        <f>SUM(C49:C59)</f>
        <v>153678623</v>
      </c>
      <c r="D60" s="20">
        <f>SUM(D49:D59)</f>
        <v>108866224</v>
      </c>
      <c r="E60" s="12">
        <f t="shared" si="9"/>
        <v>0.70840187057115944</v>
      </c>
      <c r="F60" s="13">
        <f t="shared" si="14"/>
        <v>6392743.25</v>
      </c>
      <c r="G60" s="23">
        <f t="shared" si="15"/>
        <v>115258967.25</v>
      </c>
      <c r="J60" s="107"/>
      <c r="K60" s="157">
        <f>SUM(K49:K59)</f>
        <v>153678623</v>
      </c>
      <c r="L60" s="157">
        <f>SUM(L49:L59)</f>
        <v>108866224</v>
      </c>
      <c r="M60" s="153">
        <f t="shared" si="11"/>
        <v>0.70840187057115944</v>
      </c>
      <c r="N60" s="157">
        <f>SUM(N49:N59)</f>
        <v>44812399</v>
      </c>
      <c r="O60" s="157">
        <f>SUM(O49:O59)</f>
        <v>152858941</v>
      </c>
      <c r="P60" s="157">
        <f>SUM(P49:P59)</f>
        <v>105143099.74000001</v>
      </c>
      <c r="Q60" s="153">
        <f t="shared" si="12"/>
        <v>0.68784396288601801</v>
      </c>
      <c r="R60" s="157">
        <f>SUM(R49:R59)</f>
        <v>47715841.260000005</v>
      </c>
      <c r="S60" s="157">
        <f t="shared" ref="S60:AD60" si="24">SUM(S49:S59)</f>
        <v>150486607</v>
      </c>
      <c r="T60" s="157">
        <f t="shared" si="24"/>
        <v>101801602.80000001</v>
      </c>
      <c r="U60" s="153">
        <f t="shared" si="18"/>
        <v>0.67648281019453116</v>
      </c>
      <c r="V60" s="157">
        <f t="shared" si="24"/>
        <v>154788048</v>
      </c>
      <c r="W60" s="153">
        <f t="shared" si="19"/>
        <v>0.65768387233618975</v>
      </c>
      <c r="X60" s="157">
        <f t="shared" si="24"/>
        <v>48685004.199999996</v>
      </c>
      <c r="Y60" s="157">
        <f t="shared" si="24"/>
        <v>145532969</v>
      </c>
      <c r="Z60" s="157">
        <f t="shared" si="24"/>
        <v>97427775.030000001</v>
      </c>
      <c r="AA60" s="153">
        <f t="shared" si="21"/>
        <v>0.66945500871352392</v>
      </c>
      <c r="AB60" s="157">
        <f t="shared" si="24"/>
        <v>155602576</v>
      </c>
      <c r="AC60" s="153">
        <f t="shared" si="22"/>
        <v>0.62613214725956723</v>
      </c>
      <c r="AD60" s="157">
        <f t="shared" si="24"/>
        <v>48105193.969999991</v>
      </c>
    </row>
    <row r="61" spans="1:30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0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  <row r="90" ht="15.75" customHeight="1"/>
  </sheetData>
  <mergeCells count="26">
    <mergeCell ref="A50:B50"/>
    <mergeCell ref="A51:B51"/>
    <mergeCell ref="A52:B52"/>
    <mergeCell ref="A59:B59"/>
    <mergeCell ref="A60:B60"/>
    <mergeCell ref="A53:B53"/>
    <mergeCell ref="A54:B54"/>
    <mergeCell ref="A55:B55"/>
    <mergeCell ref="A56:B56"/>
    <mergeCell ref="A57:B57"/>
    <mergeCell ref="A58:B58"/>
    <mergeCell ref="A23:B23"/>
    <mergeCell ref="A24:B24"/>
    <mergeCell ref="A46:F46"/>
    <mergeCell ref="A48:B48"/>
    <mergeCell ref="A49:B49"/>
    <mergeCell ref="A18:B18"/>
    <mergeCell ref="A19:B19"/>
    <mergeCell ref="A20:B20"/>
    <mergeCell ref="A21:B21"/>
    <mergeCell ref="A22:B22"/>
    <mergeCell ref="B3:D3"/>
    <mergeCell ref="A13:F13"/>
    <mergeCell ref="A14:F14"/>
    <mergeCell ref="A16:B16"/>
    <mergeCell ref="A17:B1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C31" workbookViewId="0">
      <selection activeCell="N68" sqref="N68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7.7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0.7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9" style="2"/>
    <col min="28" max="28" width="11.375" style="2" customWidth="1"/>
    <col min="29" max="29" width="9" style="2"/>
    <col min="30" max="30" width="12.75" style="2" customWidth="1"/>
    <col min="31" max="16384" width="9" style="2"/>
  </cols>
  <sheetData>
    <row r="1" spans="1:25" ht="15.95" customHeight="1">
      <c r="E1" s="3"/>
      <c r="F1" s="3" t="s">
        <v>23</v>
      </c>
    </row>
    <row r="2" spans="1:25" ht="15.95" customHeight="1">
      <c r="E2" s="3"/>
      <c r="F2" s="3" t="s">
        <v>56</v>
      </c>
    </row>
    <row r="3" spans="1:25" ht="15.95" customHeight="1">
      <c r="B3" s="202" t="s">
        <v>43</v>
      </c>
      <c r="C3" s="202"/>
      <c r="D3" s="202"/>
      <c r="E3" s="3"/>
      <c r="F3" s="3" t="s">
        <v>57</v>
      </c>
    </row>
    <row r="4" spans="1:25" ht="15.95" customHeight="1">
      <c r="E4" s="3"/>
      <c r="F4" s="3" t="s">
        <v>58</v>
      </c>
    </row>
    <row r="5" spans="1:25" ht="15.95" customHeight="1">
      <c r="E5" s="3"/>
      <c r="F5" s="3" t="s">
        <v>24</v>
      </c>
    </row>
    <row r="6" spans="1:25" ht="15.75">
      <c r="A6" s="4"/>
      <c r="B6" s="4"/>
      <c r="C6" s="4"/>
      <c r="D6" s="5"/>
      <c r="E6" s="5"/>
      <c r="F6" s="4"/>
    </row>
    <row r="7" spans="1:25" ht="15.75">
      <c r="D7" s="3"/>
      <c r="E7" s="3"/>
    </row>
    <row r="8" spans="1:25" ht="19.5" customHeight="1">
      <c r="A8" s="6" t="s">
        <v>38</v>
      </c>
      <c r="B8" s="7" t="s">
        <v>39</v>
      </c>
    </row>
    <row r="9" spans="1:25" ht="19.5" customHeight="1">
      <c r="A9" s="6" t="s">
        <v>40</v>
      </c>
      <c r="B9" s="7" t="s">
        <v>98</v>
      </c>
    </row>
    <row r="10" spans="1:25" ht="19.5" customHeight="1">
      <c r="A10" s="6" t="s">
        <v>41</v>
      </c>
      <c r="B10" s="8">
        <v>40648</v>
      </c>
    </row>
    <row r="11" spans="1:25" ht="19.5" customHeight="1">
      <c r="A11" s="6" t="s">
        <v>42</v>
      </c>
      <c r="B11" s="7" t="s">
        <v>152</v>
      </c>
    </row>
    <row r="12" spans="1:25" ht="19.5" customHeight="1">
      <c r="A12" s="6"/>
      <c r="B12" s="7"/>
    </row>
    <row r="13" spans="1:25" ht="12.75" customHeight="1">
      <c r="A13" s="212"/>
      <c r="B13" s="212"/>
      <c r="C13" s="212"/>
      <c r="D13" s="212"/>
      <c r="E13" s="212"/>
      <c r="F13" s="212"/>
    </row>
    <row r="14" spans="1:25" ht="31.5" customHeight="1">
      <c r="A14" s="213" t="s">
        <v>29</v>
      </c>
      <c r="B14" s="213"/>
      <c r="C14" s="213"/>
      <c r="D14" s="213"/>
      <c r="E14" s="213"/>
      <c r="F14" s="213"/>
    </row>
    <row r="15" spans="1:25">
      <c r="K15" s="134"/>
      <c r="L15" s="134"/>
      <c r="M15" s="134"/>
      <c r="N15" s="134"/>
    </row>
    <row r="16" spans="1:25" ht="38.25">
      <c r="A16" s="214"/>
      <c r="B16" s="214"/>
      <c r="C16" s="9" t="s">
        <v>143</v>
      </c>
      <c r="D16" s="9" t="s">
        <v>153</v>
      </c>
      <c r="E16" s="9" t="s">
        <v>25</v>
      </c>
      <c r="F16" s="9" t="s">
        <v>54</v>
      </c>
      <c r="G16" s="10">
        <v>0.5</v>
      </c>
      <c r="H16" s="2" t="s">
        <v>44</v>
      </c>
      <c r="I16" s="10">
        <v>0.5</v>
      </c>
      <c r="K16" s="9" t="s">
        <v>143</v>
      </c>
      <c r="L16" s="9" t="s">
        <v>144</v>
      </c>
      <c r="M16" s="9">
        <v>2011</v>
      </c>
      <c r="N16" s="9" t="s">
        <v>99</v>
      </c>
      <c r="O16" s="9" t="s">
        <v>157</v>
      </c>
      <c r="P16" s="9" t="s">
        <v>142</v>
      </c>
      <c r="Q16" s="9">
        <v>2010</v>
      </c>
      <c r="R16" s="9" t="s">
        <v>1</v>
      </c>
      <c r="S16" s="9" t="s">
        <v>156</v>
      </c>
      <c r="T16" s="9" t="s">
        <v>113</v>
      </c>
      <c r="U16" s="9">
        <v>2009</v>
      </c>
      <c r="V16" s="9" t="s">
        <v>111</v>
      </c>
      <c r="W16" s="9" t="s">
        <v>155</v>
      </c>
      <c r="X16" s="9" t="s">
        <v>114</v>
      </c>
      <c r="Y16" s="9">
        <v>2008</v>
      </c>
    </row>
    <row r="17" spans="1:25" ht="15.75" customHeight="1">
      <c r="A17" s="215" t="s">
        <v>26</v>
      </c>
      <c r="B17" s="215"/>
      <c r="C17" s="11">
        <f>K17</f>
        <v>130863490</v>
      </c>
      <c r="D17" s="11">
        <f>L17</f>
        <v>127900195</v>
      </c>
      <c r="E17" s="12">
        <f t="shared" ref="E17:E24" si="0">(D17/C17)</f>
        <v>0.9773558308738366</v>
      </c>
      <c r="F17" s="29">
        <f t="shared" ref="F17:F23" si="1">D17-G17</f>
        <v>62468450</v>
      </c>
      <c r="G17" s="14">
        <f>C17*0.5</f>
        <v>65431745</v>
      </c>
      <c r="H17" s="15">
        <f t="shared" ref="H17:H23" si="2">C17-D17</f>
        <v>2963295</v>
      </c>
      <c r="I17" s="10">
        <v>0.5</v>
      </c>
      <c r="J17" s="21" t="str">
        <f>A17</f>
        <v>Current / Delinquent Taxes</v>
      </c>
      <c r="K17" s="161">
        <v>130863490</v>
      </c>
      <c r="L17" s="161">
        <v>127900195</v>
      </c>
      <c r="M17" s="12">
        <f>(L17/K17)</f>
        <v>0.9773558308738366</v>
      </c>
      <c r="N17" s="11">
        <v>130450730</v>
      </c>
      <c r="O17" s="11">
        <v>125779425.78</v>
      </c>
      <c r="P17" s="166">
        <v>130271144</v>
      </c>
      <c r="Q17" s="12">
        <f>(O17/P17)</f>
        <v>0.96552023662277808</v>
      </c>
      <c r="R17" s="11">
        <f>'FY 2009 Rev 01-04-10'!E3</f>
        <v>119221816</v>
      </c>
      <c r="S17" s="11">
        <f>SUM('FY 2009 Rev 01-04-10'!F3:K3)</f>
        <v>115778667.43000001</v>
      </c>
      <c r="T17" s="11">
        <f>'FY 2009 Rev 01-04-10'!D3</f>
        <v>119967823.45</v>
      </c>
      <c r="U17" s="12">
        <f t="shared" ref="U17:U24" si="3">S17/T17</f>
        <v>0.96508100339299774</v>
      </c>
      <c r="V17" s="11">
        <f>'FY 2008 Rev 01-04-10'!E3</f>
        <v>106565989</v>
      </c>
      <c r="W17" s="11">
        <f>SUM('FY 2008 Rev 01-04-10'!F3:K3)</f>
        <v>112515307.53000002</v>
      </c>
      <c r="X17" s="11">
        <f>'FY 2008 Rev 01-04-10'!D3</f>
        <v>117399101.34999999</v>
      </c>
      <c r="Y17" s="12">
        <f t="shared" ref="Y17:Y24" si="4">W17/X17</f>
        <v>0.95840007492527557</v>
      </c>
    </row>
    <row r="18" spans="1:25" ht="15.75" customHeight="1">
      <c r="A18" s="215" t="s">
        <v>102</v>
      </c>
      <c r="B18" s="215"/>
      <c r="C18" s="22">
        <f t="shared" ref="C18:D23" si="5">K18</f>
        <v>4000</v>
      </c>
      <c r="D18" s="22">
        <f t="shared" si="5"/>
        <v>3500</v>
      </c>
      <c r="E18" s="12">
        <f>(D18/C18)</f>
        <v>0.875</v>
      </c>
      <c r="F18" s="22">
        <f>D18-G18</f>
        <v>1500</v>
      </c>
      <c r="G18" s="14">
        <f t="shared" ref="G18:G24" si="6">C18*0.5</f>
        <v>2000</v>
      </c>
      <c r="H18" s="15">
        <f t="shared" si="2"/>
        <v>500</v>
      </c>
      <c r="I18" s="10">
        <v>0.5</v>
      </c>
      <c r="J18" s="21" t="str">
        <f t="shared" ref="J18:J23" si="7">A18</f>
        <v>License / Permits</v>
      </c>
      <c r="K18" s="161">
        <v>4000</v>
      </c>
      <c r="L18" s="161">
        <v>3500</v>
      </c>
      <c r="M18" s="12">
        <f t="shared" ref="M18:M24" si="8">(L18/K18)</f>
        <v>0.875</v>
      </c>
      <c r="N18" s="16">
        <f>C18</f>
        <v>4000</v>
      </c>
      <c r="O18" s="28">
        <v>1500</v>
      </c>
      <c r="P18" s="165">
        <v>2500</v>
      </c>
      <c r="Q18" s="12">
        <f t="shared" ref="Q18:Q24" si="9">(O18/P18)</f>
        <v>0.6</v>
      </c>
      <c r="R18" s="28">
        <f>'FY 2009 Rev 01-04-10'!E6</f>
        <v>4000</v>
      </c>
      <c r="S18" s="28">
        <f>SUM('FY 2009 Rev 01-04-10'!F6:K6)</f>
        <v>2500</v>
      </c>
      <c r="T18" s="28">
        <f>'FY 2009 Rev 01-04-10'!D6</f>
        <v>4000</v>
      </c>
      <c r="U18" s="12">
        <f t="shared" si="3"/>
        <v>0.625</v>
      </c>
      <c r="V18" s="28">
        <f>'FY 2008 Rev 01-04-10'!E6</f>
        <v>4200</v>
      </c>
      <c r="W18" s="28">
        <f>SUM('FY 2008 Rev 01-04-10'!F6:K6)</f>
        <v>2500</v>
      </c>
      <c r="X18" s="28">
        <f>'FY 2008 Rev 01-04-10'!D6</f>
        <v>4000</v>
      </c>
      <c r="Y18" s="12">
        <f t="shared" si="4"/>
        <v>0.625</v>
      </c>
    </row>
    <row r="19" spans="1:25" ht="15.75" customHeight="1">
      <c r="A19" s="215" t="s">
        <v>55</v>
      </c>
      <c r="B19" s="215"/>
      <c r="C19" s="22">
        <f t="shared" si="5"/>
        <v>3312377</v>
      </c>
      <c r="D19" s="22">
        <f t="shared" si="5"/>
        <v>1320347</v>
      </c>
      <c r="E19" s="12">
        <f t="shared" si="0"/>
        <v>0.39861012197585</v>
      </c>
      <c r="F19" s="22">
        <f t="shared" si="1"/>
        <v>-335841.5</v>
      </c>
      <c r="G19" s="14">
        <f t="shared" si="6"/>
        <v>1656188.5</v>
      </c>
      <c r="H19" s="27">
        <f t="shared" si="2"/>
        <v>1992030</v>
      </c>
      <c r="I19" s="10">
        <v>0.5</v>
      </c>
      <c r="J19" s="21" t="str">
        <f t="shared" si="7"/>
        <v>Intergovernmental Revenue</v>
      </c>
      <c r="K19" s="161">
        <v>3312377</v>
      </c>
      <c r="L19" s="161">
        <f>6400+729327+584620</f>
        <v>1320347</v>
      </c>
      <c r="M19" s="12">
        <f t="shared" si="8"/>
        <v>0.39861012197585</v>
      </c>
      <c r="N19" s="16">
        <v>3547135</v>
      </c>
      <c r="O19" s="28">
        <v>924045.65999999992</v>
      </c>
      <c r="P19" s="165">
        <v>3908666</v>
      </c>
      <c r="Q19" s="12">
        <f t="shared" si="9"/>
        <v>0.23640947064804205</v>
      </c>
      <c r="R19" s="28">
        <f>'FY 2009 Rev 01-04-10'!E11</f>
        <v>3678780</v>
      </c>
      <c r="S19" s="28">
        <f>SUM('FY 2009 Rev 01-04-10'!F11:K11)</f>
        <v>1118300.8699999999</v>
      </c>
      <c r="T19" s="28">
        <f>'FY 2009 Rev 01-04-10'!D11</f>
        <v>3992954.02</v>
      </c>
      <c r="U19" s="12">
        <f t="shared" si="3"/>
        <v>0.28006855686257059</v>
      </c>
      <c r="V19" s="28">
        <f>'FY 2008 Rev 01-04-10'!E11</f>
        <v>3079080</v>
      </c>
      <c r="W19" s="28">
        <f>SUM('FY 2008 Rev 01-04-10'!F11:K11)</f>
        <v>1231502.01</v>
      </c>
      <c r="X19" s="28">
        <f>'FY 2008 Rev 01-04-10'!D11</f>
        <v>3979230.29</v>
      </c>
      <c r="Y19" s="12">
        <f t="shared" si="4"/>
        <v>0.30948246777645028</v>
      </c>
    </row>
    <row r="20" spans="1:25" ht="15.75" customHeight="1">
      <c r="A20" s="215" t="s">
        <v>2</v>
      </c>
      <c r="B20" s="215"/>
      <c r="C20" s="22">
        <f t="shared" si="5"/>
        <v>15205012</v>
      </c>
      <c r="D20" s="22">
        <f t="shared" si="5"/>
        <v>8242187</v>
      </c>
      <c r="E20" s="12">
        <f t="shared" si="0"/>
        <v>0.54207040415357777</v>
      </c>
      <c r="F20" s="22">
        <f t="shared" si="1"/>
        <v>639681</v>
      </c>
      <c r="G20" s="14">
        <f t="shared" si="6"/>
        <v>7602506</v>
      </c>
      <c r="H20" s="27">
        <f t="shared" si="2"/>
        <v>6962825</v>
      </c>
      <c r="I20" s="10">
        <v>0.5</v>
      </c>
      <c r="J20" s="21" t="str">
        <f t="shared" si="7"/>
        <v>Fees/Charges for Services</v>
      </c>
      <c r="K20" s="161">
        <v>15205012</v>
      </c>
      <c r="L20" s="161">
        <f>3019962+2345579+2778215+17588+80843</f>
        <v>8242187</v>
      </c>
      <c r="M20" s="12">
        <f t="shared" si="8"/>
        <v>0.54207040415357777</v>
      </c>
      <c r="N20" s="16">
        <v>16957104</v>
      </c>
      <c r="O20" s="28">
        <v>6279401.1600000001</v>
      </c>
      <c r="P20" s="165">
        <v>15214061</v>
      </c>
      <c r="Q20" s="12">
        <f t="shared" si="9"/>
        <v>0.4127366887775723</v>
      </c>
      <c r="R20" s="28">
        <f>'FY 2009 Rev 01-04-10'!E18</f>
        <v>19143500</v>
      </c>
      <c r="S20" s="28">
        <f>SUM('FY 2009 Rev 01-04-10'!F18:K18)</f>
        <v>7820701.9600000009</v>
      </c>
      <c r="T20" s="28">
        <f>'FY 2009 Rev 01-04-10'!D18</f>
        <v>15850676.109999999</v>
      </c>
      <c r="U20" s="12">
        <f t="shared" si="3"/>
        <v>0.49339863522074084</v>
      </c>
      <c r="V20" s="28">
        <f>'FY 2008 Rev 01-04-10'!E18</f>
        <v>16631625</v>
      </c>
      <c r="W20" s="28">
        <f>SUM('FY 2008 Rev 01-04-10'!F18:K18)</f>
        <v>8448283.6899999995</v>
      </c>
      <c r="X20" s="28">
        <f>'FY 2008 Rev 01-04-10'!D18</f>
        <v>15930660.34</v>
      </c>
      <c r="Y20" s="12">
        <f t="shared" si="4"/>
        <v>0.53031597621771898</v>
      </c>
    </row>
    <row r="21" spans="1:25" ht="15.75" customHeight="1">
      <c r="A21" s="215" t="s">
        <v>4</v>
      </c>
      <c r="B21" s="215"/>
      <c r="C21" s="22">
        <f t="shared" si="5"/>
        <v>1748000</v>
      </c>
      <c r="D21" s="22">
        <f t="shared" si="5"/>
        <v>961337</v>
      </c>
      <c r="E21" s="12">
        <f t="shared" si="0"/>
        <v>0.54996395881006865</v>
      </c>
      <c r="F21" s="22">
        <f t="shared" si="1"/>
        <v>87337</v>
      </c>
      <c r="G21" s="14">
        <f t="shared" si="6"/>
        <v>874000</v>
      </c>
      <c r="H21" s="27">
        <f t="shared" si="2"/>
        <v>786663</v>
      </c>
      <c r="I21" s="10">
        <v>0.5</v>
      </c>
      <c r="J21" s="21" t="str">
        <f t="shared" si="7"/>
        <v>Fines</v>
      </c>
      <c r="K21" s="161">
        <v>1748000</v>
      </c>
      <c r="L21" s="161">
        <v>961337</v>
      </c>
      <c r="M21" s="12">
        <f t="shared" si="8"/>
        <v>0.54996395881006865</v>
      </c>
      <c r="N21" s="16">
        <v>2301020</v>
      </c>
      <c r="O21" s="28">
        <v>699335.52</v>
      </c>
      <c r="P21" s="165">
        <v>1821451</v>
      </c>
      <c r="Q21" s="12">
        <f t="shared" si="9"/>
        <v>0.38394418515787687</v>
      </c>
      <c r="R21" s="28">
        <f>'FY 2009 Rev 01-04-10'!E20</f>
        <v>2771000</v>
      </c>
      <c r="S21" s="28">
        <f>SUM('FY 2009 Rev 01-04-10'!F20:K20)</f>
        <v>1071708.48</v>
      </c>
      <c r="T21" s="28">
        <f>'FY 2009 Rev 01-04-10'!D20</f>
        <v>2270389.13</v>
      </c>
      <c r="U21" s="12">
        <f t="shared" si="3"/>
        <v>0.47203735511189665</v>
      </c>
      <c r="V21" s="28">
        <f>'FY 2008 Rev 01-04-10'!E20</f>
        <v>2967500</v>
      </c>
      <c r="W21" s="28">
        <f>SUM('FY 2008 Rev 01-04-10'!F20:K20)</f>
        <v>1235771.03</v>
      </c>
      <c r="X21" s="28">
        <f>'FY 2008 Rev 01-04-10'!D20</f>
        <v>2688475.7</v>
      </c>
      <c r="Y21" s="12">
        <f t="shared" si="4"/>
        <v>0.45965490035859352</v>
      </c>
    </row>
    <row r="22" spans="1:25" ht="15.75" customHeight="1">
      <c r="A22" s="215" t="s">
        <v>3</v>
      </c>
      <c r="B22" s="215"/>
      <c r="C22" s="22">
        <f t="shared" si="5"/>
        <v>1119600</v>
      </c>
      <c r="D22" s="22">
        <f t="shared" si="5"/>
        <v>699281</v>
      </c>
      <c r="E22" s="12">
        <f t="shared" si="0"/>
        <v>0.62458110039299752</v>
      </c>
      <c r="F22" s="22">
        <f t="shared" si="1"/>
        <v>139481</v>
      </c>
      <c r="G22" s="14">
        <f t="shared" si="6"/>
        <v>559800</v>
      </c>
      <c r="H22" s="27">
        <f t="shared" si="2"/>
        <v>420319</v>
      </c>
      <c r="I22" s="10">
        <v>0.5</v>
      </c>
      <c r="J22" s="21" t="str">
        <f t="shared" si="7"/>
        <v>Investment Revenue</v>
      </c>
      <c r="K22" s="161">
        <v>1119600</v>
      </c>
      <c r="L22" s="161">
        <f>679528+19753</f>
        <v>699281</v>
      </c>
      <c r="M22" s="12">
        <f t="shared" si="8"/>
        <v>0.62458110039299752</v>
      </c>
      <c r="N22" s="16">
        <v>3133290</v>
      </c>
      <c r="O22" s="28">
        <v>454566.44</v>
      </c>
      <c r="P22" s="165">
        <v>2192285</v>
      </c>
      <c r="Q22" s="12">
        <f t="shared" si="9"/>
        <v>0.20734824167478225</v>
      </c>
      <c r="R22" s="28">
        <f>'FY 2009 Rev 01-04-10'!E23</f>
        <v>5168400</v>
      </c>
      <c r="S22" s="28">
        <f>SUM('FY 2009 Rev 01-04-10'!F23:K23)</f>
        <v>1650946.07</v>
      </c>
      <c r="T22" s="28">
        <f>'FY 2009 Rev 01-04-10'!D23</f>
        <v>3039255.96</v>
      </c>
      <c r="U22" s="12">
        <f t="shared" si="3"/>
        <v>0.54320731512195508</v>
      </c>
      <c r="V22" s="28">
        <f>'FY 2008 Rev 01-04-10'!E23</f>
        <v>6994800</v>
      </c>
      <c r="W22" s="28">
        <f>SUM('FY 2008 Rev 01-04-10'!F23:K23)</f>
        <v>3218552.15</v>
      </c>
      <c r="X22" s="28">
        <f>'FY 2008 Rev 01-04-10'!D23</f>
        <v>6575786.3600000003</v>
      </c>
      <c r="Y22" s="12">
        <f t="shared" si="4"/>
        <v>0.48945509689581823</v>
      </c>
    </row>
    <row r="23" spans="1:25" ht="15.75" customHeight="1" thickBot="1">
      <c r="A23" s="215" t="s">
        <v>27</v>
      </c>
      <c r="B23" s="215"/>
      <c r="C23" s="22">
        <f t="shared" si="5"/>
        <v>463840</v>
      </c>
      <c r="D23" s="22">
        <f t="shared" si="5"/>
        <v>461974</v>
      </c>
      <c r="E23" s="12">
        <f t="shared" si="0"/>
        <v>0.99597706105553641</v>
      </c>
      <c r="F23" s="22">
        <f t="shared" si="1"/>
        <v>230054</v>
      </c>
      <c r="G23" s="14">
        <f t="shared" si="6"/>
        <v>231920</v>
      </c>
      <c r="H23" s="27">
        <f t="shared" si="2"/>
        <v>1866</v>
      </c>
      <c r="I23" s="10">
        <v>0.5</v>
      </c>
      <c r="J23" s="21" t="str">
        <f t="shared" si="7"/>
        <v>Miscellaneous</v>
      </c>
      <c r="K23" s="162">
        <v>463840</v>
      </c>
      <c r="L23" s="162">
        <f>443841+15633+2500</f>
        <v>461974</v>
      </c>
      <c r="M23" s="163">
        <f t="shared" si="8"/>
        <v>0.99597706105553641</v>
      </c>
      <c r="N23" s="117">
        <f>519135+45000</f>
        <v>564135</v>
      </c>
      <c r="O23" s="118">
        <v>346466.67</v>
      </c>
      <c r="P23" s="167">
        <f>574051+173303</f>
        <v>747354</v>
      </c>
      <c r="Q23" s="152">
        <f t="shared" si="9"/>
        <v>0.46359110943408344</v>
      </c>
      <c r="R23" s="118">
        <f>'FY 2009 Rev 01-04-10'!E25+'FY 2009 Rev 01-04-10'!E29+'FY 2009 Rev 01-04-10'!E32</f>
        <v>499810</v>
      </c>
      <c r="S23" s="118">
        <f>SUM('FY 2009 Rev 01-04-10'!F25:K25,'FY 2009 Rev 01-04-10'!F29:K29,'FY 2009 Rev 01-04-10'!F32:K32)</f>
        <v>341593.39</v>
      </c>
      <c r="T23" s="118">
        <f>'FY 2009 Rev 01-04-10'!D25+'FY 2009 Rev 01-04-10'!D29+'FY 2009 Rev 01-04-10'!D32</f>
        <v>837358.54999999993</v>
      </c>
      <c r="U23" s="152">
        <f t="shared" si="3"/>
        <v>0.40794160398792134</v>
      </c>
      <c r="V23" s="118">
        <f>'FY 2008 Rev 01-04-10'!E25+'FY 2008 Rev 01-04-10'!E29+'FY 2008 Rev 01-04-10'!E32</f>
        <v>500000</v>
      </c>
      <c r="W23" s="118">
        <f>SUM('FY 2008 Rev 01-04-10'!F25:K25,'FY 2008 Rev 01-04-10'!F29:K29,'FY 2008 Rev 01-04-10'!F32:K32)</f>
        <v>253722.50000000003</v>
      </c>
      <c r="X23" s="118">
        <f>'FY 2008 Rev 01-04-10'!D25+'FY 2008 Rev 01-04-10'!D29+'FY 2008 Rev 01-04-10'!D32</f>
        <v>2058982.75</v>
      </c>
      <c r="Y23" s="152">
        <f t="shared" si="4"/>
        <v>0.12322711300033963</v>
      </c>
    </row>
    <row r="24" spans="1:25" ht="15.75" customHeight="1" thickBot="1">
      <c r="A24" s="216" t="s">
        <v>28</v>
      </c>
      <c r="B24" s="216"/>
      <c r="C24" s="11">
        <f>SUM(C17:C23)</f>
        <v>152716319</v>
      </c>
      <c r="D24" s="11">
        <f>SUM(D17:D23)</f>
        <v>139588821</v>
      </c>
      <c r="E24" s="12">
        <f t="shared" si="0"/>
        <v>0.91403997892327404</v>
      </c>
      <c r="F24" s="17">
        <f>SUM(F17:F23)</f>
        <v>63230661.5</v>
      </c>
      <c r="G24" s="14">
        <f t="shared" si="6"/>
        <v>76358159.5</v>
      </c>
      <c r="H24" s="27"/>
      <c r="J24" s="21"/>
      <c r="K24" s="164">
        <f>SUM(K17:K23)</f>
        <v>152716319</v>
      </c>
      <c r="L24" s="160">
        <f>SUM(L17:L23)</f>
        <v>139588821</v>
      </c>
      <c r="M24" s="153">
        <f t="shared" si="8"/>
        <v>0.91403997892327404</v>
      </c>
      <c r="N24" s="116">
        <f>SUM(N17:N23)</f>
        <v>156957414</v>
      </c>
      <c r="O24" s="116">
        <f>SUM(O17:O23)</f>
        <v>134484741.22999999</v>
      </c>
      <c r="P24" s="116">
        <f>SUM(P17:P23)</f>
        <v>154157461</v>
      </c>
      <c r="Q24" s="153">
        <f t="shared" si="9"/>
        <v>0.87238554889017006</v>
      </c>
      <c r="R24" s="116">
        <f>SUM(R17:R23)</f>
        <v>150487306</v>
      </c>
      <c r="S24" s="116">
        <f>SUM(S17:S23)</f>
        <v>127784418.20000002</v>
      </c>
      <c r="T24" s="116">
        <f>SUM(T17:T23)</f>
        <v>145962457.22</v>
      </c>
      <c r="U24" s="153">
        <f t="shared" si="3"/>
        <v>0.87546085913995431</v>
      </c>
      <c r="V24" s="116">
        <f>SUM(V17:V23)</f>
        <v>136743194</v>
      </c>
      <c r="W24" s="116">
        <f>SUM(W17:W23)</f>
        <v>126905638.91000003</v>
      </c>
      <c r="X24" s="116">
        <f>SUM(X17:X23)</f>
        <v>148636236.78999999</v>
      </c>
      <c r="Y24" s="153">
        <f t="shared" si="4"/>
        <v>0.85380013414426026</v>
      </c>
    </row>
    <row r="25" spans="1:25" ht="22.5" customHeight="1" thickTop="1">
      <c r="J25" s="21"/>
      <c r="K25" s="26"/>
    </row>
    <row r="26" spans="1:25">
      <c r="J26" s="21"/>
      <c r="K26" s="26"/>
    </row>
    <row r="40" spans="1:30">
      <c r="J40" s="135"/>
      <c r="K40" s="135"/>
    </row>
    <row r="41" spans="1:30">
      <c r="J41" s="135"/>
      <c r="K41" s="135"/>
    </row>
    <row r="42" spans="1:30">
      <c r="J42" s="135"/>
      <c r="K42" s="135"/>
    </row>
    <row r="43" spans="1:30">
      <c r="J43" s="135"/>
      <c r="K43" s="135"/>
    </row>
    <row r="44" spans="1:30">
      <c r="J44" s="135"/>
      <c r="K44" s="135"/>
    </row>
    <row r="45" spans="1:30">
      <c r="J45" s="135"/>
      <c r="K45" s="135"/>
    </row>
    <row r="46" spans="1:30" ht="50.25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0" ht="12" customHeight="1">
      <c r="B47" s="18"/>
      <c r="C47" s="18"/>
      <c r="D47" s="18"/>
      <c r="E47" s="18"/>
      <c r="J47" s="135"/>
      <c r="K47" s="135"/>
    </row>
    <row r="48" spans="1:30" ht="36" customHeight="1">
      <c r="A48" s="217"/>
      <c r="B48" s="217"/>
      <c r="C48" s="19" t="s">
        <v>143</v>
      </c>
      <c r="D48" s="19" t="s">
        <v>154</v>
      </c>
      <c r="E48" s="19" t="s">
        <v>25</v>
      </c>
      <c r="F48" s="9" t="s">
        <v>54</v>
      </c>
      <c r="G48" s="10">
        <v>0.5</v>
      </c>
      <c r="H48" s="2" t="s">
        <v>45</v>
      </c>
      <c r="K48" s="154" t="s">
        <v>143</v>
      </c>
      <c r="L48" s="150" t="s">
        <v>148</v>
      </c>
      <c r="M48" s="151">
        <v>2011</v>
      </c>
      <c r="N48" s="150" t="s">
        <v>147</v>
      </c>
      <c r="O48" s="154" t="s">
        <v>99</v>
      </c>
      <c r="P48" s="150" t="s">
        <v>160</v>
      </c>
      <c r="Q48" s="151">
        <v>2010</v>
      </c>
      <c r="R48" s="150" t="s">
        <v>116</v>
      </c>
      <c r="S48" s="150" t="s">
        <v>1</v>
      </c>
      <c r="T48" s="150" t="s">
        <v>159</v>
      </c>
      <c r="U48" s="151">
        <v>2009</v>
      </c>
      <c r="V48" s="150" t="s">
        <v>118</v>
      </c>
      <c r="W48" s="150">
        <v>2009</v>
      </c>
      <c r="X48" s="150" t="s">
        <v>119</v>
      </c>
      <c r="Y48" s="150" t="s">
        <v>111</v>
      </c>
      <c r="Z48" s="150" t="s">
        <v>158</v>
      </c>
      <c r="AA48" s="151">
        <v>2008</v>
      </c>
      <c r="AB48" s="150" t="s">
        <v>121</v>
      </c>
      <c r="AC48" s="150">
        <v>2008</v>
      </c>
      <c r="AD48" s="150" t="s">
        <v>122</v>
      </c>
    </row>
    <row r="49" spans="1:30" ht="15.75" customHeight="1">
      <c r="A49" s="218" t="s">
        <v>30</v>
      </c>
      <c r="B49" s="219"/>
      <c r="C49" s="11">
        <f>K49</f>
        <v>315395</v>
      </c>
      <c r="D49" s="11">
        <f>L49</f>
        <v>139650</v>
      </c>
      <c r="E49" s="12">
        <f t="shared" ref="E49:E60" si="10">(D49/C49)</f>
        <v>0.44277810364780673</v>
      </c>
      <c r="F49" s="11">
        <f>+G49-D49</f>
        <v>18047.5</v>
      </c>
      <c r="G49" s="23">
        <f>C49*0.5</f>
        <v>157697.5</v>
      </c>
      <c r="H49" s="24">
        <f t="shared" ref="H49:H59" si="11">C49-D49</f>
        <v>175745</v>
      </c>
      <c r="I49" s="1">
        <v>0.5</v>
      </c>
      <c r="J49" s="135" t="s">
        <v>30</v>
      </c>
      <c r="K49" s="13">
        <v>315395</v>
      </c>
      <c r="L49" s="13">
        <v>139650</v>
      </c>
      <c r="M49" s="155">
        <f t="shared" ref="M49:M60" si="12">(L49/K49)</f>
        <v>0.44277810364780673</v>
      </c>
      <c r="N49" s="13">
        <f>K49-L49</f>
        <v>175745</v>
      </c>
      <c r="O49" s="13">
        <v>302496</v>
      </c>
      <c r="P49" s="13">
        <v>136994.62</v>
      </c>
      <c r="Q49" s="155">
        <f t="shared" ref="Q49:Q60" si="13">(P49/O49)</f>
        <v>0.45288076536549243</v>
      </c>
      <c r="R49" s="13">
        <f>O49-P49</f>
        <v>165501.38</v>
      </c>
      <c r="S49" s="13">
        <f>'FY 2009 Exp 01-06-10'!C2</f>
        <v>307595</v>
      </c>
      <c r="T49" s="13">
        <f>SUM('FY 2009 Exp 01-06-10'!F2:K2)</f>
        <v>128584.43000000001</v>
      </c>
      <c r="U49" s="155">
        <f>T49/S49</f>
        <v>0.41803159999349798</v>
      </c>
      <c r="V49" s="13">
        <f>'FY 2009 Exp 01-06-10'!D2</f>
        <v>307595</v>
      </c>
      <c r="W49" s="155">
        <f>T49/V49</f>
        <v>0.41803159999349798</v>
      </c>
      <c r="X49" s="13">
        <f>S49-T49</f>
        <v>179010.57</v>
      </c>
      <c r="Y49" s="13">
        <f>'FY 2008 Exp 01-06-10'!C2</f>
        <v>326242</v>
      </c>
      <c r="Z49" s="13">
        <f>SUM('FY 2008 Exp 01-06-10'!F2:K2)</f>
        <v>137775.82</v>
      </c>
      <c r="AA49" s="155">
        <f>Z49/Y49</f>
        <v>0.4223117195210917</v>
      </c>
      <c r="AB49" s="13">
        <f>'FY 2008 Exp 01-06-10'!D2</f>
        <v>326266</v>
      </c>
      <c r="AC49" s="155">
        <f>Z49/AB49</f>
        <v>0.42228065443533808</v>
      </c>
      <c r="AD49" s="13">
        <f>Y49-Z49</f>
        <v>188466.18</v>
      </c>
    </row>
    <row r="50" spans="1:30" ht="15.75" customHeight="1">
      <c r="A50" s="218" t="s">
        <v>123</v>
      </c>
      <c r="B50" s="219"/>
      <c r="C50" s="22">
        <f t="shared" ref="C50:D59" si="14">K50</f>
        <v>376370</v>
      </c>
      <c r="D50" s="22">
        <f t="shared" si="14"/>
        <v>236962</v>
      </c>
      <c r="E50" s="12">
        <f t="shared" si="10"/>
        <v>0.62959853335813165</v>
      </c>
      <c r="F50" s="22">
        <f t="shared" ref="F50:F60" si="15">+G50-D50</f>
        <v>-48777</v>
      </c>
      <c r="G50" s="23">
        <f t="shared" ref="G50:G60" si="16">C50*0.5</f>
        <v>188185</v>
      </c>
      <c r="H50" s="25">
        <f t="shared" si="11"/>
        <v>139408</v>
      </c>
      <c r="I50" s="1">
        <v>0.5</v>
      </c>
      <c r="J50" s="135" t="s">
        <v>123</v>
      </c>
      <c r="K50" s="156">
        <v>376370</v>
      </c>
      <c r="L50" s="156">
        <v>236962</v>
      </c>
      <c r="M50" s="155">
        <f t="shared" si="12"/>
        <v>0.62959853335813165</v>
      </c>
      <c r="N50" s="156">
        <f t="shared" ref="N50:N59" si="17">K50-L50</f>
        <v>139408</v>
      </c>
      <c r="O50" s="156">
        <v>411370</v>
      </c>
      <c r="P50" s="156">
        <v>289019.63</v>
      </c>
      <c r="Q50" s="155">
        <f t="shared" si="13"/>
        <v>0.70257828718671755</v>
      </c>
      <c r="R50" s="156">
        <f t="shared" ref="R50:R59" si="18">O50-P50</f>
        <v>122350.37</v>
      </c>
      <c r="S50" s="156">
        <f>'FY 2009 Exp 01-06-10'!C3</f>
        <v>510370</v>
      </c>
      <c r="T50" s="156">
        <f>SUM('FY 2009 Exp 01-06-10'!F3:K3)</f>
        <v>336446.91</v>
      </c>
      <c r="U50" s="155">
        <f t="shared" ref="U50:U60" si="19">T50/S50</f>
        <v>0.65922156474714422</v>
      </c>
      <c r="V50" s="156">
        <f>'FY 2009 Exp 01-06-10'!D3</f>
        <v>575162</v>
      </c>
      <c r="W50" s="155">
        <f t="shared" ref="W50:W60" si="20">T50/V50</f>
        <v>0.58496025467607382</v>
      </c>
      <c r="X50" s="13">
        <f t="shared" ref="X50:X59" si="21">S50-T50</f>
        <v>173923.09000000003</v>
      </c>
      <c r="Y50" s="156">
        <f>'FY 2008 Exp 01-06-10'!C3</f>
        <v>461110</v>
      </c>
      <c r="Z50" s="156">
        <f>SUM('FY 2008 Exp 01-06-10'!F3:K3)</f>
        <v>304413.27</v>
      </c>
      <c r="AA50" s="155">
        <f t="shared" ref="AA50:AA60" si="22">Z50/Y50</f>
        <v>0.66017494740951188</v>
      </c>
      <c r="AB50" s="156">
        <f>'FY 2008 Exp 01-06-10'!D3</f>
        <v>497765</v>
      </c>
      <c r="AC50" s="155">
        <f t="shared" ref="AC50:AC60" si="23">Z50/AB50</f>
        <v>0.61156021415728312</v>
      </c>
      <c r="AD50" s="13">
        <f t="shared" ref="AD50:AD59" si="24">Y50-Z50</f>
        <v>156696.72999999998</v>
      </c>
    </row>
    <row r="51" spans="1:30" ht="15.75" customHeight="1">
      <c r="A51" s="218" t="s">
        <v>31</v>
      </c>
      <c r="B51" s="219"/>
      <c r="C51" s="22">
        <f t="shared" si="14"/>
        <v>2892101</v>
      </c>
      <c r="D51" s="22">
        <f t="shared" si="14"/>
        <v>991365</v>
      </c>
      <c r="E51" s="12">
        <f t="shared" si="10"/>
        <v>0.34278367180122687</v>
      </c>
      <c r="F51" s="28">
        <f t="shared" si="15"/>
        <v>454685.5</v>
      </c>
      <c r="G51" s="23">
        <f t="shared" si="16"/>
        <v>1446050.5</v>
      </c>
      <c r="H51" s="25">
        <f t="shared" si="11"/>
        <v>1900736</v>
      </c>
      <c r="I51" s="1">
        <v>0.5</v>
      </c>
      <c r="J51" s="135" t="s">
        <v>31</v>
      </c>
      <c r="K51" s="156">
        <v>2892101</v>
      </c>
      <c r="L51" s="156">
        <v>991365</v>
      </c>
      <c r="M51" s="155">
        <f t="shared" si="12"/>
        <v>0.34278367180122687</v>
      </c>
      <c r="N51" s="156">
        <f t="shared" si="17"/>
        <v>1900736</v>
      </c>
      <c r="O51" s="156">
        <v>3263326</v>
      </c>
      <c r="P51" s="156">
        <v>1521774.66</v>
      </c>
      <c r="Q51" s="155">
        <f t="shared" si="13"/>
        <v>0.46632627570766755</v>
      </c>
      <c r="R51" s="156">
        <f t="shared" si="18"/>
        <v>1741551.34</v>
      </c>
      <c r="S51" s="156">
        <f>'FY 2009 Exp 01-06-10'!C5</f>
        <v>3360551</v>
      </c>
      <c r="T51" s="156">
        <f>SUM('FY 2009 Exp 01-06-10'!F5:K5)</f>
        <v>1517439.4300000002</v>
      </c>
      <c r="U51" s="155">
        <f t="shared" si="19"/>
        <v>0.45154482999960427</v>
      </c>
      <c r="V51" s="156">
        <f>'FY 2009 Exp 01-06-10'!D5</f>
        <v>3258569</v>
      </c>
      <c r="W51" s="155">
        <f t="shared" si="20"/>
        <v>0.46567662983352515</v>
      </c>
      <c r="X51" s="13">
        <f t="shared" si="21"/>
        <v>1843111.5699999998</v>
      </c>
      <c r="Y51" s="156">
        <f>'FY 2008 Exp 01-06-10'!C5</f>
        <v>2433415</v>
      </c>
      <c r="Z51" s="156">
        <f>SUM('FY 2008 Exp 01-06-10'!F5:K5)</f>
        <v>1357706.9300000002</v>
      </c>
      <c r="AA51" s="155">
        <f t="shared" si="22"/>
        <v>0.55794302656965633</v>
      </c>
      <c r="AB51" s="156">
        <f>'FY 2008 Exp 01-06-10'!D5</f>
        <v>3116351</v>
      </c>
      <c r="AC51" s="155">
        <f t="shared" si="23"/>
        <v>0.43567201833169633</v>
      </c>
      <c r="AD51" s="13">
        <f t="shared" si="24"/>
        <v>1075708.0699999998</v>
      </c>
    </row>
    <row r="52" spans="1:30" ht="15.75" customHeight="1">
      <c r="A52" s="218" t="s">
        <v>15</v>
      </c>
      <c r="B52" s="219"/>
      <c r="C52" s="22">
        <f t="shared" si="14"/>
        <v>10586321</v>
      </c>
      <c r="D52" s="22">
        <f t="shared" si="14"/>
        <v>5265073</v>
      </c>
      <c r="E52" s="12">
        <f t="shared" si="10"/>
        <v>0.49734681198501351</v>
      </c>
      <c r="F52" s="28">
        <f t="shared" si="15"/>
        <v>28087.5</v>
      </c>
      <c r="G52" s="23">
        <f t="shared" si="16"/>
        <v>5293160.5</v>
      </c>
      <c r="H52" s="25">
        <f t="shared" si="11"/>
        <v>5321248</v>
      </c>
      <c r="I52" s="1">
        <v>0.5</v>
      </c>
      <c r="J52" s="135" t="s">
        <v>15</v>
      </c>
      <c r="K52" s="156">
        <v>10586321</v>
      </c>
      <c r="L52" s="156">
        <v>5265073</v>
      </c>
      <c r="M52" s="155">
        <f t="shared" si="12"/>
        <v>0.49734681198501351</v>
      </c>
      <c r="N52" s="156">
        <f t="shared" si="17"/>
        <v>5321248</v>
      </c>
      <c r="O52" s="156">
        <v>10604579</v>
      </c>
      <c r="P52" s="156">
        <v>5308214.72</v>
      </c>
      <c r="Q52" s="155">
        <f t="shared" si="13"/>
        <v>0.50055874165301606</v>
      </c>
      <c r="R52" s="156">
        <f t="shared" si="18"/>
        <v>5296364.28</v>
      </c>
      <c r="S52" s="156">
        <f>'FY 2009 Exp 01-06-10'!C6</f>
        <v>10906229</v>
      </c>
      <c r="T52" s="156">
        <f>SUM('FY 2009 Exp 01-06-10'!F6:K6)</f>
        <v>5148824.4700000007</v>
      </c>
      <c r="U52" s="155">
        <f t="shared" si="19"/>
        <v>0.47209942776737962</v>
      </c>
      <c r="V52" s="156">
        <f>'FY 2009 Exp 01-06-10'!D6</f>
        <v>11732575</v>
      </c>
      <c r="W52" s="155">
        <f t="shared" si="20"/>
        <v>0.43884863041574423</v>
      </c>
      <c r="X52" s="13">
        <f t="shared" si="21"/>
        <v>5757404.5299999993</v>
      </c>
      <c r="Y52" s="156">
        <f>'FY 2008 Exp 01-06-10'!C6</f>
        <v>9925189</v>
      </c>
      <c r="Z52" s="156">
        <f>SUM('FY 2008 Exp 01-06-10'!F6:K6)</f>
        <v>5097103.41</v>
      </c>
      <c r="AA52" s="155">
        <f t="shared" si="22"/>
        <v>0.5135522769390084</v>
      </c>
      <c r="AB52" s="156">
        <f>'FY 2008 Exp 01-06-10'!D6</f>
        <v>10190881</v>
      </c>
      <c r="AC52" s="155">
        <f t="shared" si="23"/>
        <v>0.50016317627494622</v>
      </c>
      <c r="AD52" s="13">
        <f t="shared" si="24"/>
        <v>4828085.59</v>
      </c>
    </row>
    <row r="53" spans="1:30" ht="15.75" customHeight="1">
      <c r="A53" s="218" t="s">
        <v>14</v>
      </c>
      <c r="B53" s="219"/>
      <c r="C53" s="22">
        <f t="shared" si="14"/>
        <v>36594199</v>
      </c>
      <c r="D53" s="22">
        <f t="shared" si="14"/>
        <v>14902536</v>
      </c>
      <c r="E53" s="12">
        <f t="shared" si="10"/>
        <v>0.40723766081066565</v>
      </c>
      <c r="F53" s="22">
        <f t="shared" si="15"/>
        <v>3394563.5</v>
      </c>
      <c r="G53" s="23">
        <f t="shared" si="16"/>
        <v>18297099.5</v>
      </c>
      <c r="H53" s="25">
        <f t="shared" si="11"/>
        <v>21691663</v>
      </c>
      <c r="I53" s="1">
        <v>0.5</v>
      </c>
      <c r="J53" s="135" t="s">
        <v>151</v>
      </c>
      <c r="K53" s="156">
        <v>36594199</v>
      </c>
      <c r="L53" s="156">
        <v>14902536</v>
      </c>
      <c r="M53" s="155">
        <f t="shared" si="12"/>
        <v>0.40723766081066565</v>
      </c>
      <c r="N53" s="156">
        <f t="shared" si="17"/>
        <v>21691663</v>
      </c>
      <c r="O53" s="156">
        <v>36033186</v>
      </c>
      <c r="P53" s="156">
        <v>11063278.310000001</v>
      </c>
      <c r="Q53" s="155">
        <f t="shared" si="13"/>
        <v>0.30703025566487518</v>
      </c>
      <c r="R53" s="156">
        <f t="shared" si="18"/>
        <v>24969907.689999998</v>
      </c>
      <c r="S53" s="156">
        <f>'FY 2009 Exp 01-06-10'!C7</f>
        <v>34955768</v>
      </c>
      <c r="T53" s="156">
        <f>SUM('FY 2009 Exp 01-06-10'!F7:K7)</f>
        <v>12937997.109999999</v>
      </c>
      <c r="U53" s="155">
        <f t="shared" si="19"/>
        <v>0.37012481344995768</v>
      </c>
      <c r="V53" s="156">
        <f>'FY 2009 Exp 01-06-10'!D7</f>
        <v>31765451</v>
      </c>
      <c r="W53" s="155">
        <f t="shared" si="20"/>
        <v>0.40729776227638004</v>
      </c>
      <c r="X53" s="13">
        <f t="shared" si="21"/>
        <v>22017770.890000001</v>
      </c>
      <c r="Y53" s="156">
        <f>'FY 2008 Exp 01-06-10'!C7</f>
        <v>33931130</v>
      </c>
      <c r="Z53" s="156">
        <f>SUM('FY 2008 Exp 01-06-10'!F7:K7)</f>
        <v>8682749.5</v>
      </c>
      <c r="AA53" s="155">
        <f t="shared" si="22"/>
        <v>0.25589331979217905</v>
      </c>
      <c r="AB53" s="156">
        <f>'FY 2008 Exp 01-06-10'!D7</f>
        <v>30400731</v>
      </c>
      <c r="AC53" s="155">
        <f t="shared" si="23"/>
        <v>0.28560989207792403</v>
      </c>
      <c r="AD53" s="13">
        <f t="shared" si="24"/>
        <v>25248380.5</v>
      </c>
    </row>
    <row r="54" spans="1:30" ht="15.75" customHeight="1">
      <c r="A54" s="218" t="s">
        <v>124</v>
      </c>
      <c r="B54" s="219"/>
      <c r="C54" s="22">
        <f t="shared" si="14"/>
        <v>12350821</v>
      </c>
      <c r="D54" s="22">
        <f t="shared" si="14"/>
        <v>5621707</v>
      </c>
      <c r="E54" s="12">
        <f t="shared" si="10"/>
        <v>0.45516868878595196</v>
      </c>
      <c r="F54" s="28">
        <f t="shared" si="15"/>
        <v>553703.5</v>
      </c>
      <c r="G54" s="23">
        <f t="shared" si="16"/>
        <v>6175410.5</v>
      </c>
      <c r="H54" s="25">
        <f t="shared" si="11"/>
        <v>6729114</v>
      </c>
      <c r="I54" s="1">
        <v>0.5</v>
      </c>
      <c r="J54" s="135" t="s">
        <v>124</v>
      </c>
      <c r="K54" s="156">
        <v>12350821</v>
      </c>
      <c r="L54" s="156">
        <v>5621707</v>
      </c>
      <c r="M54" s="155">
        <f t="shared" si="12"/>
        <v>0.45516868878595196</v>
      </c>
      <c r="N54" s="156">
        <f t="shared" si="17"/>
        <v>6729114</v>
      </c>
      <c r="O54" s="156">
        <v>11603014</v>
      </c>
      <c r="P54" s="156">
        <v>5465500.0300000003</v>
      </c>
      <c r="Q54" s="155">
        <f t="shared" si="13"/>
        <v>0.47104140613809481</v>
      </c>
      <c r="R54" s="156">
        <f t="shared" si="18"/>
        <v>6137513.9699999997</v>
      </c>
      <c r="S54" s="156">
        <f>'FY 2009 Exp 01-06-10'!C8</f>
        <v>11138553</v>
      </c>
      <c r="T54" s="156">
        <f>SUM('FY 2009 Exp 01-06-10'!F8:K8)</f>
        <v>5806850.4500000002</v>
      </c>
      <c r="U54" s="155">
        <f t="shared" si="19"/>
        <v>0.52132897783042376</v>
      </c>
      <c r="V54" s="156">
        <f>'FY 2009 Exp 01-06-10'!D8</f>
        <v>12178567</v>
      </c>
      <c r="W54" s="155">
        <f t="shared" si="20"/>
        <v>0.4768090079891994</v>
      </c>
      <c r="X54" s="13">
        <f t="shared" si="21"/>
        <v>5331702.55</v>
      </c>
      <c r="Y54" s="156">
        <f>'FY 2008 Exp 01-06-10'!C8</f>
        <v>10691922</v>
      </c>
      <c r="Z54" s="156">
        <f>SUM('FY 2008 Exp 01-06-10'!F8:K8)</f>
        <v>4386370.58</v>
      </c>
      <c r="AA54" s="155">
        <f t="shared" si="22"/>
        <v>0.41025089595677933</v>
      </c>
      <c r="AB54" s="156">
        <f>'FY 2008 Exp 01-06-10'!D8</f>
        <v>11576518</v>
      </c>
      <c r="AC54" s="155">
        <f t="shared" si="23"/>
        <v>0.37890241089764642</v>
      </c>
      <c r="AD54" s="13">
        <f t="shared" si="24"/>
        <v>6305551.4199999999</v>
      </c>
    </row>
    <row r="55" spans="1:30" ht="15.75" customHeight="1">
      <c r="A55" s="218" t="s">
        <v>32</v>
      </c>
      <c r="B55" s="219"/>
      <c r="C55" s="22">
        <f t="shared" si="14"/>
        <v>14589387</v>
      </c>
      <c r="D55" s="22">
        <f t="shared" si="14"/>
        <v>7281236</v>
      </c>
      <c r="E55" s="12">
        <f t="shared" si="10"/>
        <v>0.49907758290324328</v>
      </c>
      <c r="F55" s="28">
        <f t="shared" si="15"/>
        <v>13457.5</v>
      </c>
      <c r="G55" s="23">
        <f t="shared" si="16"/>
        <v>7294693.5</v>
      </c>
      <c r="H55" s="25">
        <f t="shared" si="11"/>
        <v>7308151</v>
      </c>
      <c r="I55" s="1">
        <v>0.5</v>
      </c>
      <c r="J55" s="135" t="s">
        <v>32</v>
      </c>
      <c r="K55" s="156">
        <v>14589387</v>
      </c>
      <c r="L55" s="156">
        <v>7281236</v>
      </c>
      <c r="M55" s="155">
        <f t="shared" si="12"/>
        <v>0.49907758290324328</v>
      </c>
      <c r="N55" s="156">
        <f t="shared" si="17"/>
        <v>7308151</v>
      </c>
      <c r="O55" s="156">
        <v>14742575</v>
      </c>
      <c r="P55" s="156">
        <v>7110684.3600000003</v>
      </c>
      <c r="Q55" s="155">
        <f t="shared" si="13"/>
        <v>0.48232309213281943</v>
      </c>
      <c r="R55" s="156">
        <f t="shared" si="18"/>
        <v>7631890.6399999997</v>
      </c>
      <c r="S55" s="156">
        <f>'FY 2009 Exp 01-06-10'!C9</f>
        <v>14546174</v>
      </c>
      <c r="T55" s="156">
        <f>SUM('FY 2009 Exp 01-06-10'!F9:K9)</f>
        <v>7093933.3399999999</v>
      </c>
      <c r="U55" s="155">
        <f t="shared" si="19"/>
        <v>0.48768379506528658</v>
      </c>
      <c r="V55" s="156">
        <f>'FY 2009 Exp 01-06-10'!D9</f>
        <v>14631394</v>
      </c>
      <c r="W55" s="155">
        <f t="shared" si="20"/>
        <v>0.48484329927825059</v>
      </c>
      <c r="X55" s="13">
        <f t="shared" si="21"/>
        <v>7452240.6600000001</v>
      </c>
      <c r="Y55" s="156">
        <f>'FY 2008 Exp 01-06-10'!C9</f>
        <v>13877308</v>
      </c>
      <c r="Z55" s="156">
        <f>SUM('FY 2008 Exp 01-06-10'!F9:K9)</f>
        <v>6907471.1899999995</v>
      </c>
      <c r="AA55" s="155">
        <f t="shared" si="22"/>
        <v>0.49775296404749392</v>
      </c>
      <c r="AB55" s="156">
        <f>'FY 2008 Exp 01-06-10'!D9</f>
        <v>14249804</v>
      </c>
      <c r="AC55" s="155">
        <f t="shared" si="23"/>
        <v>0.48474148767239184</v>
      </c>
      <c r="AD55" s="13">
        <f t="shared" si="24"/>
        <v>6969836.8100000005</v>
      </c>
    </row>
    <row r="56" spans="1:30" ht="15.75" customHeight="1">
      <c r="A56" s="218" t="s">
        <v>33</v>
      </c>
      <c r="B56" s="219"/>
      <c r="C56" s="22">
        <f t="shared" si="14"/>
        <v>10895570</v>
      </c>
      <c r="D56" s="22">
        <f t="shared" si="14"/>
        <v>5400688</v>
      </c>
      <c r="E56" s="12">
        <f t="shared" si="10"/>
        <v>0.49567741751923028</v>
      </c>
      <c r="F56" s="28">
        <f t="shared" si="15"/>
        <v>47097</v>
      </c>
      <c r="G56" s="23">
        <f t="shared" si="16"/>
        <v>5447785</v>
      </c>
      <c r="H56" s="25">
        <f t="shared" si="11"/>
        <v>5494882</v>
      </c>
      <c r="I56" s="1">
        <v>0.5</v>
      </c>
      <c r="J56" s="135" t="s">
        <v>33</v>
      </c>
      <c r="K56" s="156">
        <v>10895570</v>
      </c>
      <c r="L56" s="156">
        <v>5400688</v>
      </c>
      <c r="M56" s="155">
        <f t="shared" si="12"/>
        <v>0.49567741751923028</v>
      </c>
      <c r="N56" s="156">
        <f t="shared" si="17"/>
        <v>5494882</v>
      </c>
      <c r="O56" s="156">
        <v>10775827</v>
      </c>
      <c r="P56" s="156">
        <v>5358645.12</v>
      </c>
      <c r="Q56" s="155">
        <f t="shared" si="13"/>
        <v>0.49728388549667696</v>
      </c>
      <c r="R56" s="156">
        <f t="shared" si="18"/>
        <v>5417181.8799999999</v>
      </c>
      <c r="S56" s="156">
        <f>'FY 2009 Exp 01-06-10'!C10</f>
        <v>10460745</v>
      </c>
      <c r="T56" s="156">
        <f>SUM('FY 2009 Exp 01-06-10'!F10:K10)</f>
        <v>5117713.63</v>
      </c>
      <c r="U56" s="155">
        <f t="shared" si="19"/>
        <v>0.48923032059380089</v>
      </c>
      <c r="V56" s="156">
        <f>'FY 2009 Exp 01-06-10'!D10</f>
        <v>10518776</v>
      </c>
      <c r="W56" s="155">
        <f t="shared" si="20"/>
        <v>0.4865312874805966</v>
      </c>
      <c r="X56" s="13">
        <f t="shared" si="21"/>
        <v>5343031.37</v>
      </c>
      <c r="Y56" s="156">
        <f>'FY 2008 Exp 01-06-10'!C10</f>
        <v>10121330</v>
      </c>
      <c r="Z56" s="156">
        <f>SUM('FY 2008 Exp 01-06-10'!F10:K10)</f>
        <v>4987796.5</v>
      </c>
      <c r="AA56" s="155">
        <f t="shared" si="22"/>
        <v>0.49280050151511706</v>
      </c>
      <c r="AB56" s="156">
        <f>'FY 2008 Exp 01-06-10'!D10</f>
        <v>10185578</v>
      </c>
      <c r="AC56" s="155">
        <f t="shared" si="23"/>
        <v>0.48969204300433417</v>
      </c>
      <c r="AD56" s="13">
        <f t="shared" si="24"/>
        <v>5133533.5</v>
      </c>
    </row>
    <row r="57" spans="1:30" ht="15.75" customHeight="1">
      <c r="A57" s="218" t="s">
        <v>34</v>
      </c>
      <c r="B57" s="219"/>
      <c r="C57" s="22">
        <f t="shared" si="14"/>
        <v>10218116</v>
      </c>
      <c r="D57" s="22">
        <f t="shared" si="14"/>
        <v>4631802</v>
      </c>
      <c r="E57" s="12">
        <f t="shared" si="10"/>
        <v>0.45329315110535051</v>
      </c>
      <c r="F57" s="28">
        <f t="shared" si="15"/>
        <v>477256</v>
      </c>
      <c r="G57" s="23">
        <f t="shared" si="16"/>
        <v>5109058</v>
      </c>
      <c r="H57" s="25">
        <f t="shared" si="11"/>
        <v>5586314</v>
      </c>
      <c r="I57" s="1">
        <v>0.5</v>
      </c>
      <c r="J57" s="135" t="s">
        <v>34</v>
      </c>
      <c r="K57" s="156">
        <v>10218116</v>
      </c>
      <c r="L57" s="156">
        <v>4631802</v>
      </c>
      <c r="M57" s="155">
        <f t="shared" si="12"/>
        <v>0.45329315110535051</v>
      </c>
      <c r="N57" s="156">
        <f t="shared" si="17"/>
        <v>5586314</v>
      </c>
      <c r="O57" s="156">
        <v>10781064</v>
      </c>
      <c r="P57" s="156">
        <v>4565598.2300000004</v>
      </c>
      <c r="Q57" s="155">
        <f t="shared" si="13"/>
        <v>0.42348308385888445</v>
      </c>
      <c r="R57" s="156">
        <f t="shared" si="18"/>
        <v>6215465.7699999996</v>
      </c>
      <c r="S57" s="156">
        <f>'FY 2009 Exp 01-06-10'!C11</f>
        <v>10829424</v>
      </c>
      <c r="T57" s="156">
        <f>SUM('FY 2009 Exp 01-06-10'!F11:K11)</f>
        <v>4724841.4400000004</v>
      </c>
      <c r="U57" s="155">
        <f t="shared" si="19"/>
        <v>0.43629665252741057</v>
      </c>
      <c r="V57" s="156">
        <f>'FY 2009 Exp 01-06-10'!D11</f>
        <v>11207054</v>
      </c>
      <c r="W57" s="155">
        <f t="shared" si="20"/>
        <v>0.42159531309477055</v>
      </c>
      <c r="X57" s="13">
        <f t="shared" si="21"/>
        <v>6104582.5599999996</v>
      </c>
      <c r="Y57" s="156">
        <f>'FY 2008 Exp 01-06-10'!C11</f>
        <v>10503495</v>
      </c>
      <c r="Z57" s="156">
        <f>SUM('FY 2008 Exp 01-06-10'!F11:K11)</f>
        <v>4702741.6899999995</v>
      </c>
      <c r="AA57" s="155">
        <f t="shared" si="22"/>
        <v>0.44773113044753193</v>
      </c>
      <c r="AB57" s="156">
        <f>'FY 2008 Exp 01-06-10'!D11</f>
        <v>11177385</v>
      </c>
      <c r="AC57" s="155">
        <f t="shared" si="23"/>
        <v>0.42073720194839842</v>
      </c>
      <c r="AD57" s="13">
        <f t="shared" si="24"/>
        <v>5800753.3100000005</v>
      </c>
    </row>
    <row r="58" spans="1:30" ht="15.75" customHeight="1">
      <c r="A58" s="218" t="s">
        <v>35</v>
      </c>
      <c r="B58" s="219"/>
      <c r="C58" s="22">
        <f t="shared" si="14"/>
        <v>45505343</v>
      </c>
      <c r="D58" s="22">
        <f t="shared" si="14"/>
        <v>23617795</v>
      </c>
      <c r="E58" s="12">
        <f t="shared" si="10"/>
        <v>0.51901147080684573</v>
      </c>
      <c r="F58" s="28">
        <f t="shared" si="15"/>
        <v>-865123.5</v>
      </c>
      <c r="G58" s="23">
        <f t="shared" si="16"/>
        <v>22752671.5</v>
      </c>
      <c r="H58" s="25">
        <f>C58-D58</f>
        <v>21887548</v>
      </c>
      <c r="I58" s="1">
        <v>0.5</v>
      </c>
      <c r="J58" s="135" t="s">
        <v>35</v>
      </c>
      <c r="K58" s="156">
        <v>45505343</v>
      </c>
      <c r="L58" s="156">
        <v>23617795</v>
      </c>
      <c r="M58" s="155">
        <f t="shared" si="12"/>
        <v>0.51901147080684573</v>
      </c>
      <c r="N58" s="156">
        <f t="shared" si="17"/>
        <v>21887548</v>
      </c>
      <c r="O58" s="156">
        <v>45971504</v>
      </c>
      <c r="P58" s="156">
        <v>23496387.489999998</v>
      </c>
      <c r="Q58" s="155">
        <f t="shared" si="13"/>
        <v>0.51110765247097412</v>
      </c>
      <c r="R58" s="156">
        <f t="shared" si="18"/>
        <v>22475116.510000002</v>
      </c>
      <c r="S58" s="156">
        <f>'FY 2009 Exp 01-06-10'!C12</f>
        <v>44763416</v>
      </c>
      <c r="T58" s="156">
        <f>SUM('FY 2009 Exp 01-06-10'!F12:K12)</f>
        <v>23289222.100000001</v>
      </c>
      <c r="U58" s="155">
        <f t="shared" si="19"/>
        <v>0.52027356670009284</v>
      </c>
      <c r="V58" s="156">
        <f>'FY 2009 Exp 01-06-10'!D12</f>
        <v>45148643</v>
      </c>
      <c r="W58" s="155">
        <f t="shared" si="20"/>
        <v>0.51583437624027817</v>
      </c>
      <c r="X58" s="13">
        <f t="shared" si="21"/>
        <v>21474193.899999999</v>
      </c>
      <c r="Y58" s="156">
        <f>'FY 2008 Exp 01-06-10'!C12</f>
        <v>44214975</v>
      </c>
      <c r="Z58" s="156">
        <f>SUM('FY 2008 Exp 01-06-10'!F12:K12)</f>
        <v>22765117.540000003</v>
      </c>
      <c r="AA58" s="155">
        <f t="shared" si="22"/>
        <v>0.51487346854770366</v>
      </c>
      <c r="AB58" s="156">
        <f>'FY 2008 Exp 01-06-10'!D12</f>
        <v>44791732</v>
      </c>
      <c r="AC58" s="155">
        <f t="shared" si="23"/>
        <v>0.50824374328726563</v>
      </c>
      <c r="AD58" s="13">
        <f t="shared" si="24"/>
        <v>21449857.459999997</v>
      </c>
    </row>
    <row r="59" spans="1:30" ht="15.75" customHeight="1" thickBot="1">
      <c r="A59" s="218" t="s">
        <v>36</v>
      </c>
      <c r="B59" s="219"/>
      <c r="C59" s="22">
        <f t="shared" si="14"/>
        <v>9355000</v>
      </c>
      <c r="D59" s="22">
        <f t="shared" si="14"/>
        <v>9355000</v>
      </c>
      <c r="E59" s="12">
        <f t="shared" si="10"/>
        <v>1</v>
      </c>
      <c r="F59" s="22">
        <f t="shared" si="15"/>
        <v>-4677500</v>
      </c>
      <c r="G59" s="23">
        <f t="shared" si="16"/>
        <v>4677500</v>
      </c>
      <c r="H59" s="25">
        <f t="shared" si="11"/>
        <v>0</v>
      </c>
      <c r="I59" s="1">
        <v>0.5</v>
      </c>
      <c r="J59" s="135" t="s">
        <v>36</v>
      </c>
      <c r="K59" s="158">
        <v>9355000</v>
      </c>
      <c r="L59" s="158">
        <v>9355000</v>
      </c>
      <c r="M59" s="152">
        <f t="shared" si="12"/>
        <v>1</v>
      </c>
      <c r="N59" s="158">
        <f t="shared" si="17"/>
        <v>0</v>
      </c>
      <c r="O59" s="158">
        <v>8370000</v>
      </c>
      <c r="P59" s="158">
        <v>7790000</v>
      </c>
      <c r="Q59" s="152">
        <f t="shared" si="13"/>
        <v>0.93070489844683391</v>
      </c>
      <c r="R59" s="158">
        <f t="shared" si="18"/>
        <v>580000</v>
      </c>
      <c r="S59" s="158">
        <f>'FY 2009 Exp 01-06-10'!C14</f>
        <v>8707782</v>
      </c>
      <c r="T59" s="158">
        <f>SUM('FY 2009 Exp 01-06-10'!F14:K14)</f>
        <v>8668245</v>
      </c>
      <c r="U59" s="152">
        <f t="shared" si="19"/>
        <v>0.99545957857006528</v>
      </c>
      <c r="V59" s="158">
        <f>'FY 2009 Exp 01-06-10'!D14</f>
        <v>13464262</v>
      </c>
      <c r="W59" s="152">
        <f t="shared" si="20"/>
        <v>0.64379651851694508</v>
      </c>
      <c r="X59" s="159">
        <f t="shared" si="21"/>
        <v>39537</v>
      </c>
      <c r="Y59" s="158">
        <f>'FY 2008 Exp 01-06-10'!C14</f>
        <v>9046853</v>
      </c>
      <c r="Z59" s="158">
        <f>SUM('FY 2008 Exp 01-06-10'!F14:K14)</f>
        <v>8086390</v>
      </c>
      <c r="AA59" s="152">
        <f t="shared" si="22"/>
        <v>0.89383457429893021</v>
      </c>
      <c r="AB59" s="158">
        <f>'FY 2008 Exp 01-06-10'!D14</f>
        <v>19089565</v>
      </c>
      <c r="AC59" s="152">
        <f t="shared" si="23"/>
        <v>0.42360263316633984</v>
      </c>
      <c r="AD59" s="159">
        <f t="shared" si="24"/>
        <v>960463</v>
      </c>
    </row>
    <row r="60" spans="1:30" ht="15.75" customHeight="1" thickBot="1">
      <c r="A60" s="220" t="s">
        <v>28</v>
      </c>
      <c r="B60" s="221"/>
      <c r="C60" s="20">
        <f>SUM(C49:C59)</f>
        <v>153678623</v>
      </c>
      <c r="D60" s="20">
        <f>SUM(D49:D59)</f>
        <v>77443814</v>
      </c>
      <c r="E60" s="12">
        <f t="shared" si="10"/>
        <v>0.50393354969090265</v>
      </c>
      <c r="F60" s="13">
        <f t="shared" si="15"/>
        <v>-604502.5</v>
      </c>
      <c r="G60" s="23">
        <f t="shared" si="16"/>
        <v>76839311.5</v>
      </c>
      <c r="J60" s="107"/>
      <c r="K60" s="157">
        <f>SUM(K49:K59)</f>
        <v>153678623</v>
      </c>
      <c r="L60" s="157">
        <f>SUM(L49:L59)</f>
        <v>77443814</v>
      </c>
      <c r="M60" s="153">
        <f t="shared" si="12"/>
        <v>0.50393354969090265</v>
      </c>
      <c r="N60" s="157">
        <f>SUM(N49:N59)</f>
        <v>76234809</v>
      </c>
      <c r="O60" s="157">
        <f>SUM(O49:O59)</f>
        <v>152858941</v>
      </c>
      <c r="P60" s="157">
        <f>SUM(P49:P59)</f>
        <v>72106097.170000002</v>
      </c>
      <c r="Q60" s="153">
        <f t="shared" si="13"/>
        <v>0.47171658195643262</v>
      </c>
      <c r="R60" s="157">
        <f>SUM(R49:R59)</f>
        <v>80752843.830000013</v>
      </c>
      <c r="S60" s="157">
        <f t="shared" ref="S60:AD60" si="25">SUM(S49:S59)</f>
        <v>150486607</v>
      </c>
      <c r="T60" s="157">
        <f t="shared" si="25"/>
        <v>74770098.310000002</v>
      </c>
      <c r="U60" s="153">
        <f t="shared" si="19"/>
        <v>0.49685549963924697</v>
      </c>
      <c r="V60" s="157">
        <f t="shared" si="25"/>
        <v>154788048</v>
      </c>
      <c r="W60" s="153">
        <f t="shared" si="20"/>
        <v>0.48304826681450236</v>
      </c>
      <c r="X60" s="157">
        <f t="shared" si="25"/>
        <v>75716508.689999998</v>
      </c>
      <c r="Y60" s="157">
        <f t="shared" si="25"/>
        <v>145532969</v>
      </c>
      <c r="Z60" s="157">
        <f t="shared" si="25"/>
        <v>67415636.429999992</v>
      </c>
      <c r="AA60" s="153">
        <f t="shared" si="22"/>
        <v>0.46323274302196082</v>
      </c>
      <c r="AB60" s="157">
        <f t="shared" si="25"/>
        <v>155602576</v>
      </c>
      <c r="AC60" s="153">
        <f t="shared" si="23"/>
        <v>0.43325527226490129</v>
      </c>
      <c r="AD60" s="157">
        <f t="shared" si="25"/>
        <v>78117332.570000008</v>
      </c>
    </row>
    <row r="61" spans="1:30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0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  <row r="90" ht="15.75" customHeight="1"/>
  </sheetData>
  <mergeCells count="26">
    <mergeCell ref="A50:B50"/>
    <mergeCell ref="A51:B51"/>
    <mergeCell ref="A52:B52"/>
    <mergeCell ref="A59:B59"/>
    <mergeCell ref="A60:B60"/>
    <mergeCell ref="A53:B53"/>
    <mergeCell ref="A54:B54"/>
    <mergeCell ref="A55:B55"/>
    <mergeCell ref="A56:B56"/>
    <mergeCell ref="A57:B57"/>
    <mergeCell ref="A58:B58"/>
    <mergeCell ref="A23:B23"/>
    <mergeCell ref="A24:B24"/>
    <mergeCell ref="A46:F46"/>
    <mergeCell ref="A48:B48"/>
    <mergeCell ref="A49:B49"/>
    <mergeCell ref="A18:B18"/>
    <mergeCell ref="A19:B19"/>
    <mergeCell ref="A20:B20"/>
    <mergeCell ref="A21:B21"/>
    <mergeCell ref="A22:B22"/>
    <mergeCell ref="B3:D3"/>
    <mergeCell ref="A13:F13"/>
    <mergeCell ref="A14:F14"/>
    <mergeCell ref="A16:B16"/>
    <mergeCell ref="A17:B1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opLeftCell="A68" zoomScaleNormal="100" workbookViewId="0">
      <selection activeCell="K23" sqref="K23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0.7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9" style="2"/>
    <col min="28" max="28" width="11.375" style="2" customWidth="1"/>
    <col min="29" max="29" width="9" style="2"/>
    <col min="30" max="30" width="12.75" style="2" customWidth="1"/>
    <col min="31" max="16384" width="9" style="2"/>
  </cols>
  <sheetData>
    <row r="1" spans="1:25" ht="15.95" customHeight="1">
      <c r="E1" s="3"/>
      <c r="F1" s="3" t="s">
        <v>23</v>
      </c>
    </row>
    <row r="2" spans="1:25" ht="15.95" customHeight="1">
      <c r="E2" s="3"/>
      <c r="F2" s="3" t="s">
        <v>56</v>
      </c>
    </row>
    <row r="3" spans="1:25" ht="15.95" customHeight="1">
      <c r="B3" s="202" t="s">
        <v>43</v>
      </c>
      <c r="C3" s="202"/>
      <c r="D3" s="202"/>
      <c r="E3" s="3"/>
      <c r="F3" s="3" t="s">
        <v>57</v>
      </c>
    </row>
    <row r="4" spans="1:25" ht="15.95" customHeight="1">
      <c r="E4" s="3"/>
      <c r="F4" s="3" t="s">
        <v>58</v>
      </c>
    </row>
    <row r="5" spans="1:25" ht="15.95" customHeight="1">
      <c r="E5" s="3"/>
      <c r="F5" s="3" t="s">
        <v>24</v>
      </c>
    </row>
    <row r="6" spans="1:25" ht="15.75">
      <c r="A6" s="4"/>
      <c r="B6" s="4"/>
      <c r="C6" s="4"/>
      <c r="D6" s="5"/>
      <c r="E6" s="5"/>
      <c r="F6" s="4"/>
    </row>
    <row r="7" spans="1:25" ht="15.75">
      <c r="D7" s="3"/>
      <c r="E7" s="3"/>
    </row>
    <row r="8" spans="1:25" ht="19.5" customHeight="1">
      <c r="A8" s="6" t="s">
        <v>38</v>
      </c>
      <c r="B8" s="7" t="s">
        <v>39</v>
      </c>
    </row>
    <row r="9" spans="1:25" ht="19.5" customHeight="1">
      <c r="A9" s="6" t="s">
        <v>40</v>
      </c>
      <c r="B9" s="7" t="s">
        <v>98</v>
      </c>
    </row>
    <row r="10" spans="1:25" ht="19.5" customHeight="1">
      <c r="A10" s="6" t="s">
        <v>41</v>
      </c>
      <c r="B10" s="8">
        <v>40558</v>
      </c>
    </row>
    <row r="11" spans="1:25" ht="19.5" customHeight="1">
      <c r="A11" s="6" t="s">
        <v>42</v>
      </c>
      <c r="B11" s="7" t="s">
        <v>145</v>
      </c>
    </row>
    <row r="12" spans="1:25" ht="19.5" customHeight="1">
      <c r="A12" s="6"/>
      <c r="B12" s="7"/>
    </row>
    <row r="13" spans="1:25" ht="24.75" customHeight="1">
      <c r="A13" s="212"/>
      <c r="B13" s="212"/>
      <c r="C13" s="212"/>
      <c r="D13" s="212"/>
      <c r="E13" s="212"/>
      <c r="F13" s="212"/>
    </row>
    <row r="14" spans="1:25" ht="31.5" customHeight="1">
      <c r="A14" s="213" t="s">
        <v>29</v>
      </c>
      <c r="B14" s="213"/>
      <c r="C14" s="213"/>
      <c r="D14" s="213"/>
      <c r="E14" s="213"/>
      <c r="F14" s="213"/>
    </row>
    <row r="15" spans="1:25">
      <c r="K15" s="134"/>
      <c r="L15" s="134"/>
      <c r="M15" s="134"/>
      <c r="N15" s="134"/>
    </row>
    <row r="16" spans="1:25" ht="38.25">
      <c r="A16" s="214"/>
      <c r="B16" s="214"/>
      <c r="C16" s="9" t="s">
        <v>143</v>
      </c>
      <c r="D16" s="9" t="s">
        <v>149</v>
      </c>
      <c r="E16" s="9" t="s">
        <v>25</v>
      </c>
      <c r="F16" s="9" t="s">
        <v>13</v>
      </c>
      <c r="G16" s="10">
        <v>0.25</v>
      </c>
      <c r="H16" s="2" t="s">
        <v>44</v>
      </c>
      <c r="I16" s="10">
        <v>0.25</v>
      </c>
      <c r="K16" s="9" t="s">
        <v>143</v>
      </c>
      <c r="L16" s="9" t="s">
        <v>144</v>
      </c>
      <c r="M16" s="9">
        <v>2011</v>
      </c>
      <c r="N16" s="9" t="s">
        <v>99</v>
      </c>
      <c r="O16" s="9" t="s">
        <v>141</v>
      </c>
      <c r="P16" s="9" t="s">
        <v>142</v>
      </c>
      <c r="Q16" s="9">
        <v>2010</v>
      </c>
      <c r="R16" s="9" t="s">
        <v>1</v>
      </c>
      <c r="S16" s="9" t="s">
        <v>110</v>
      </c>
      <c r="T16" s="9" t="s">
        <v>113</v>
      </c>
      <c r="U16" s="9">
        <v>2009</v>
      </c>
      <c r="V16" s="9" t="s">
        <v>111</v>
      </c>
      <c r="W16" s="9" t="s">
        <v>112</v>
      </c>
      <c r="X16" s="9" t="s">
        <v>114</v>
      </c>
      <c r="Y16" s="9">
        <v>2008</v>
      </c>
    </row>
    <row r="17" spans="1:25" ht="15.75" customHeight="1">
      <c r="A17" s="215" t="s">
        <v>26</v>
      </c>
      <c r="B17" s="215"/>
      <c r="C17" s="11">
        <f>K17</f>
        <v>130863490</v>
      </c>
      <c r="D17" s="11">
        <f>L17</f>
        <v>74294017</v>
      </c>
      <c r="E17" s="12">
        <f t="shared" ref="E17:E24" si="0">(D17/C17)</f>
        <v>0.56772150123766374</v>
      </c>
      <c r="F17" s="29">
        <f t="shared" ref="F17:F23" si="1">D17-G17</f>
        <v>41578144.5</v>
      </c>
      <c r="G17" s="14">
        <f>C17*0.25</f>
        <v>32715872.5</v>
      </c>
      <c r="H17" s="15">
        <f t="shared" ref="H17:H23" si="2">C17-D17</f>
        <v>56569473</v>
      </c>
      <c r="I17" s="10">
        <v>0.25</v>
      </c>
      <c r="J17" s="21" t="str">
        <f>A17</f>
        <v>Current / Delinquent Taxes</v>
      </c>
      <c r="K17" s="161">
        <v>130863490</v>
      </c>
      <c r="L17" s="161">
        <v>74294017</v>
      </c>
      <c r="M17" s="12">
        <f>(L17/K17)</f>
        <v>0.56772150123766374</v>
      </c>
      <c r="N17" s="11">
        <v>130450730</v>
      </c>
      <c r="O17" s="11">
        <v>61761935.259999998</v>
      </c>
      <c r="P17" s="166">
        <v>130271144</v>
      </c>
      <c r="Q17" s="12">
        <f>(O17/P17)</f>
        <v>0.47410296220320286</v>
      </c>
      <c r="R17" s="11">
        <f>'FY 2009 Rev 01-04-10'!E3</f>
        <v>119221816</v>
      </c>
      <c r="S17" s="11">
        <f>SUM('FY 2009 Rev 01-04-10'!F3:H3)</f>
        <v>52785336.5</v>
      </c>
      <c r="T17" s="11">
        <f>'FY 2009 Rev 01-04-10'!D3</f>
        <v>119967823.45</v>
      </c>
      <c r="U17" s="12">
        <f t="shared" ref="U17:U24" si="3">S17/T17</f>
        <v>0.4399957837194553</v>
      </c>
      <c r="V17" s="11">
        <f>'FY 2008 Rev 01-04-10'!E3</f>
        <v>106565989</v>
      </c>
      <c r="W17" s="11">
        <f>SUM('FY 2008 Rev 01-04-10'!F3:H3)</f>
        <v>52307073</v>
      </c>
      <c r="X17" s="11">
        <f>'FY 2008 Rev 01-04-10'!D3</f>
        <v>117399101.34999999</v>
      </c>
      <c r="Y17" s="12">
        <f t="shared" ref="Y17:Y24" si="4">W17/X17</f>
        <v>0.4455491771104601</v>
      </c>
    </row>
    <row r="18" spans="1:25" ht="15.75" customHeight="1">
      <c r="A18" s="215" t="s">
        <v>102</v>
      </c>
      <c r="B18" s="215"/>
      <c r="C18" s="11">
        <f t="shared" ref="C18:C23" si="5">K18</f>
        <v>4000</v>
      </c>
      <c r="D18" s="11">
        <f t="shared" ref="D18:D23" si="6">L18</f>
        <v>1500</v>
      </c>
      <c r="E18" s="12">
        <f>(D18/C18)</f>
        <v>0.375</v>
      </c>
      <c r="F18" s="22">
        <f>D18-G18</f>
        <v>500</v>
      </c>
      <c r="G18" s="14">
        <f>C18*0.25</f>
        <v>1000</v>
      </c>
      <c r="H18" s="15">
        <f t="shared" si="2"/>
        <v>2500</v>
      </c>
      <c r="I18" s="10">
        <v>0.25</v>
      </c>
      <c r="J18" s="21" t="str">
        <f t="shared" ref="J18:J23" si="7">A18</f>
        <v>License / Permits</v>
      </c>
      <c r="K18" s="161">
        <v>4000</v>
      </c>
      <c r="L18" s="161">
        <v>1500</v>
      </c>
      <c r="M18" s="12">
        <f t="shared" ref="M18:M24" si="8">(L18/K18)</f>
        <v>0.375</v>
      </c>
      <c r="N18" s="16">
        <f>C18</f>
        <v>4000</v>
      </c>
      <c r="O18" s="28">
        <v>500</v>
      </c>
      <c r="P18" s="165">
        <v>2500</v>
      </c>
      <c r="Q18" s="12">
        <f t="shared" ref="Q18:Q24" si="9">(O18/P18)</f>
        <v>0.2</v>
      </c>
      <c r="R18" s="28">
        <f>'FY 2009 Rev 01-04-10'!E6</f>
        <v>4000</v>
      </c>
      <c r="S18" s="28">
        <f>SUM('FY 2009 Rev 01-04-10'!F6:H6)</f>
        <v>1000</v>
      </c>
      <c r="T18" s="28">
        <f>'FY 2009 Rev 01-04-10'!D6</f>
        <v>4000</v>
      </c>
      <c r="U18" s="12">
        <f t="shared" si="3"/>
        <v>0.25</v>
      </c>
      <c r="V18" s="28">
        <f>'FY 2008 Rev 01-04-10'!E6</f>
        <v>4200</v>
      </c>
      <c r="W18" s="28">
        <f>SUM('FY 2008 Rev 01-04-10'!F6:H6)</f>
        <v>1000</v>
      </c>
      <c r="X18" s="28">
        <f>'FY 2008 Rev 01-04-10'!D6</f>
        <v>4000</v>
      </c>
      <c r="Y18" s="12">
        <f t="shared" si="4"/>
        <v>0.25</v>
      </c>
    </row>
    <row r="19" spans="1:25" ht="15.75" customHeight="1">
      <c r="A19" s="215" t="s">
        <v>55</v>
      </c>
      <c r="B19" s="215"/>
      <c r="C19" s="11">
        <f t="shared" si="5"/>
        <v>3312377</v>
      </c>
      <c r="D19" s="11">
        <f t="shared" si="6"/>
        <v>201598.63</v>
      </c>
      <c r="E19" s="12">
        <f t="shared" si="0"/>
        <v>6.0862223714269241E-2</v>
      </c>
      <c r="F19" s="22">
        <f t="shared" si="1"/>
        <v>-626495.62</v>
      </c>
      <c r="G19" s="27">
        <f t="shared" ref="G19:G24" si="10">C19*0.25</f>
        <v>828094.25</v>
      </c>
      <c r="H19" s="27">
        <f t="shared" si="2"/>
        <v>3110778.37</v>
      </c>
      <c r="I19" s="10">
        <v>0.25</v>
      </c>
      <c r="J19" s="21" t="str">
        <f t="shared" si="7"/>
        <v>Intergovernmental Revenue</v>
      </c>
      <c r="K19" s="161">
        <v>3312377</v>
      </c>
      <c r="L19" s="161">
        <f>3800+197798.63</f>
        <v>201598.63</v>
      </c>
      <c r="M19" s="12">
        <f t="shared" si="8"/>
        <v>6.0862223714269241E-2</v>
      </c>
      <c r="N19" s="16">
        <v>3547135</v>
      </c>
      <c r="O19" s="28">
        <v>128087.4</v>
      </c>
      <c r="P19" s="165">
        <v>3908666</v>
      </c>
      <c r="Q19" s="12">
        <f t="shared" si="9"/>
        <v>3.2770106220383115E-2</v>
      </c>
      <c r="R19" s="28">
        <f>'FY 2009 Rev 01-04-10'!E11</f>
        <v>3678780</v>
      </c>
      <c r="S19" s="28">
        <f>SUM('FY 2009 Rev 01-04-10'!F11:H11)</f>
        <v>245038.35</v>
      </c>
      <c r="T19" s="28">
        <f>'FY 2009 Rev 01-04-10'!D11</f>
        <v>3992954.02</v>
      </c>
      <c r="U19" s="12">
        <f t="shared" si="3"/>
        <v>6.1367686372707092E-2</v>
      </c>
      <c r="V19" s="28">
        <f>'FY 2008 Rev 01-04-10'!E11</f>
        <v>3079080</v>
      </c>
      <c r="W19" s="28">
        <f>SUM('FY 2008 Rev 01-04-10'!F11:H11)</f>
        <v>568863.37</v>
      </c>
      <c r="X19" s="28">
        <f>'FY 2008 Rev 01-04-10'!D11</f>
        <v>3979230.29</v>
      </c>
      <c r="Y19" s="12">
        <f t="shared" si="4"/>
        <v>0.14295814228937226</v>
      </c>
    </row>
    <row r="20" spans="1:25" ht="15.75" customHeight="1">
      <c r="A20" s="215" t="s">
        <v>2</v>
      </c>
      <c r="B20" s="215"/>
      <c r="C20" s="11">
        <f t="shared" si="5"/>
        <v>15205012</v>
      </c>
      <c r="D20" s="11">
        <f t="shared" si="6"/>
        <v>3458580</v>
      </c>
      <c r="E20" s="12">
        <f t="shared" si="0"/>
        <v>0.22746315491234076</v>
      </c>
      <c r="F20" s="22">
        <f t="shared" si="1"/>
        <v>-342673</v>
      </c>
      <c r="G20" s="27">
        <f t="shared" si="10"/>
        <v>3801253</v>
      </c>
      <c r="H20" s="27">
        <f t="shared" si="2"/>
        <v>11746432</v>
      </c>
      <c r="I20" s="10">
        <v>0.25</v>
      </c>
      <c r="J20" s="21" t="str">
        <f t="shared" si="7"/>
        <v>Fees/Charges for Services</v>
      </c>
      <c r="K20" s="161">
        <v>15205012</v>
      </c>
      <c r="L20" s="161">
        <f>1087572+895622+1413119+9300+52967</f>
        <v>3458580</v>
      </c>
      <c r="M20" s="12">
        <f t="shared" si="8"/>
        <v>0.22746315491234076</v>
      </c>
      <c r="N20" s="16">
        <v>16957104</v>
      </c>
      <c r="O20" s="28">
        <v>2965404.33</v>
      </c>
      <c r="P20" s="165">
        <v>15214061</v>
      </c>
      <c r="Q20" s="12">
        <f t="shared" si="9"/>
        <v>0.19491208363105683</v>
      </c>
      <c r="R20" s="28">
        <f>'FY 2009 Rev 01-04-10'!E18</f>
        <v>19143500</v>
      </c>
      <c r="S20" s="28">
        <f>SUM('FY 2009 Rev 01-04-10'!F18:H18)</f>
        <v>3104705.13</v>
      </c>
      <c r="T20" s="28">
        <f>'FY 2009 Rev 01-04-10'!D18</f>
        <v>15850676.109999999</v>
      </c>
      <c r="U20" s="12">
        <f t="shared" si="3"/>
        <v>0.1958720945689679</v>
      </c>
      <c r="V20" s="28">
        <f>'FY 2008 Rev 01-04-10'!E18</f>
        <v>16631625</v>
      </c>
      <c r="W20" s="28">
        <f>SUM('FY 2008 Rev 01-04-10'!F18:H18)</f>
        <v>3862473</v>
      </c>
      <c r="X20" s="28">
        <f>'FY 2008 Rev 01-04-10'!D18</f>
        <v>15930660.34</v>
      </c>
      <c r="Y20" s="12">
        <f t="shared" si="4"/>
        <v>0.24245529799551296</v>
      </c>
    </row>
    <row r="21" spans="1:25" ht="15.75" customHeight="1">
      <c r="A21" s="215" t="s">
        <v>4</v>
      </c>
      <c r="B21" s="215"/>
      <c r="C21" s="11">
        <f t="shared" si="5"/>
        <v>1748000</v>
      </c>
      <c r="D21" s="11">
        <f t="shared" si="6"/>
        <v>355150</v>
      </c>
      <c r="E21" s="12">
        <f t="shared" si="0"/>
        <v>0.20317505720823797</v>
      </c>
      <c r="F21" s="22">
        <f t="shared" si="1"/>
        <v>-81850</v>
      </c>
      <c r="G21" s="27">
        <f t="shared" si="10"/>
        <v>437000</v>
      </c>
      <c r="H21" s="27">
        <f t="shared" si="2"/>
        <v>1392850</v>
      </c>
      <c r="I21" s="10">
        <v>0.25</v>
      </c>
      <c r="J21" s="21" t="str">
        <f t="shared" si="7"/>
        <v>Fines</v>
      </c>
      <c r="K21" s="161">
        <v>1748000</v>
      </c>
      <c r="L21" s="161">
        <v>355150</v>
      </c>
      <c r="M21" s="12">
        <f t="shared" si="8"/>
        <v>0.20317505720823797</v>
      </c>
      <c r="N21" s="16">
        <v>2301020</v>
      </c>
      <c r="O21" s="28">
        <v>382802.16</v>
      </c>
      <c r="P21" s="165">
        <v>1821451</v>
      </c>
      <c r="Q21" s="12">
        <f t="shared" si="9"/>
        <v>0.21016330387147389</v>
      </c>
      <c r="R21" s="28">
        <f>'FY 2009 Rev 01-04-10'!E20</f>
        <v>2771000</v>
      </c>
      <c r="S21" s="28">
        <f>SUM('FY 2009 Rev 01-04-10'!F20:H20)</f>
        <v>513924.79000000004</v>
      </c>
      <c r="T21" s="28">
        <f>'FY 2009 Rev 01-04-10'!D20</f>
        <v>2270389.13</v>
      </c>
      <c r="U21" s="12">
        <f t="shared" si="3"/>
        <v>0.22635978265100312</v>
      </c>
      <c r="V21" s="28">
        <f>'FY 2008 Rev 01-04-10'!E20</f>
        <v>2967500</v>
      </c>
      <c r="W21" s="28">
        <f>SUM('FY 2008 Rev 01-04-10'!F20:H20)</f>
        <v>563204.65</v>
      </c>
      <c r="X21" s="28">
        <f>'FY 2008 Rev 01-04-10'!D20</f>
        <v>2688475.7</v>
      </c>
      <c r="Y21" s="12">
        <f t="shared" si="4"/>
        <v>0.20948846589909664</v>
      </c>
    </row>
    <row r="22" spans="1:25" ht="15.75" customHeight="1">
      <c r="A22" s="215" t="s">
        <v>3</v>
      </c>
      <c r="B22" s="215"/>
      <c r="C22" s="11">
        <f t="shared" si="5"/>
        <v>1119600</v>
      </c>
      <c r="D22" s="11">
        <f t="shared" si="6"/>
        <v>470299</v>
      </c>
      <c r="E22" s="12">
        <f t="shared" si="0"/>
        <v>0.42005984280100034</v>
      </c>
      <c r="F22" s="22">
        <f t="shared" si="1"/>
        <v>190399</v>
      </c>
      <c r="G22" s="26">
        <f t="shared" si="10"/>
        <v>279900</v>
      </c>
      <c r="H22" s="27">
        <f t="shared" si="2"/>
        <v>649301</v>
      </c>
      <c r="I22" s="10">
        <v>0.25</v>
      </c>
      <c r="J22" s="21" t="str">
        <f t="shared" si="7"/>
        <v>Investment Revenue</v>
      </c>
      <c r="K22" s="161">
        <v>1119600</v>
      </c>
      <c r="L22" s="161">
        <f>461048+9251</f>
        <v>470299</v>
      </c>
      <c r="M22" s="12">
        <f t="shared" si="8"/>
        <v>0.42005984280100034</v>
      </c>
      <c r="N22" s="16">
        <v>3133290</v>
      </c>
      <c r="O22" s="28">
        <v>300010.57</v>
      </c>
      <c r="P22" s="165">
        <v>2192285</v>
      </c>
      <c r="Q22" s="12">
        <f t="shared" si="9"/>
        <v>0.13684834316706085</v>
      </c>
      <c r="R22" s="28">
        <f>'FY 2009 Rev 01-04-10'!E23</f>
        <v>5168400</v>
      </c>
      <c r="S22" s="28">
        <f>SUM('FY 2009 Rev 01-04-10'!F23:H23)</f>
        <v>803625.85000000009</v>
      </c>
      <c r="T22" s="28">
        <f>'FY 2009 Rev 01-04-10'!D23</f>
        <v>3039255.96</v>
      </c>
      <c r="U22" s="12">
        <f t="shared" si="3"/>
        <v>0.26441532420323033</v>
      </c>
      <c r="V22" s="28">
        <f>'FY 2008 Rev 01-04-10'!E23</f>
        <v>6994800</v>
      </c>
      <c r="W22" s="28">
        <f>SUM('FY 2008 Rev 01-04-10'!F23:H23)</f>
        <v>1345073.2</v>
      </c>
      <c r="X22" s="28">
        <f>'FY 2008 Rev 01-04-10'!D23</f>
        <v>6575786.3600000003</v>
      </c>
      <c r="Y22" s="12">
        <f t="shared" si="4"/>
        <v>0.20454940692446705</v>
      </c>
    </row>
    <row r="23" spans="1:25" ht="15.75" customHeight="1" thickBot="1">
      <c r="A23" s="215" t="s">
        <v>27</v>
      </c>
      <c r="B23" s="215"/>
      <c r="C23" s="11">
        <f t="shared" si="5"/>
        <v>463840</v>
      </c>
      <c r="D23" s="11">
        <f t="shared" si="6"/>
        <v>169386</v>
      </c>
      <c r="E23" s="12">
        <f t="shared" si="0"/>
        <v>0.36518195929630909</v>
      </c>
      <c r="F23" s="22">
        <f t="shared" si="1"/>
        <v>53426</v>
      </c>
      <c r="G23" s="27">
        <f t="shared" si="10"/>
        <v>115960</v>
      </c>
      <c r="H23" s="27">
        <f t="shared" si="2"/>
        <v>294454</v>
      </c>
      <c r="I23" s="10">
        <v>0.25</v>
      </c>
      <c r="J23" s="21" t="str">
        <f t="shared" si="7"/>
        <v>Miscellaneous</v>
      </c>
      <c r="K23" s="162">
        <v>463840</v>
      </c>
      <c r="L23" s="162">
        <v>169386</v>
      </c>
      <c r="M23" s="163">
        <f t="shared" si="8"/>
        <v>0.36518195929630909</v>
      </c>
      <c r="N23" s="117">
        <f>519135+45000</f>
        <v>564135</v>
      </c>
      <c r="O23" s="118">
        <v>126744.71</v>
      </c>
      <c r="P23" s="167">
        <f>574051+173303</f>
        <v>747354</v>
      </c>
      <c r="Q23" s="152">
        <f t="shared" si="9"/>
        <v>0.16959126464834604</v>
      </c>
      <c r="R23" s="118">
        <f>'FY 2009 Rev 01-04-10'!E25+'FY 2009 Rev 01-04-10'!E29+'FY 2009 Rev 01-04-10'!E32</f>
        <v>499810</v>
      </c>
      <c r="S23" s="118">
        <f>SUM('FY 2009 Rev 01-04-10'!F25:H25,'FY 2009 Rev 01-04-10'!F29:H29,'FY 2009 Rev 01-04-10'!F32:H32)</f>
        <v>188898.59</v>
      </c>
      <c r="T23" s="118">
        <f>'FY 2009 Rev 01-04-10'!D25+'FY 2009 Rev 01-04-10'!D29+'FY 2009 Rev 01-04-10'!D32</f>
        <v>837358.54999999993</v>
      </c>
      <c r="U23" s="152">
        <f t="shared" si="3"/>
        <v>0.22558865613780382</v>
      </c>
      <c r="V23" s="118">
        <f>'FY 2008 Rev 01-04-10'!E25+'FY 2008 Rev 01-04-10'!E29+'FY 2008 Rev 01-04-10'!E32</f>
        <v>500000</v>
      </c>
      <c r="W23" s="118">
        <f>SUM('FY 2008 Rev 01-04-10'!F25:H25,'FY 2008 Rev 01-04-10'!F29:H29,'FY 2008 Rev 01-04-10'!F32:H32)</f>
        <v>100219.29</v>
      </c>
      <c r="X23" s="118">
        <f>'FY 2008 Rev 01-04-10'!D25+'FY 2008 Rev 01-04-10'!D29+'FY 2008 Rev 01-04-10'!D32</f>
        <v>2058982.75</v>
      </c>
      <c r="Y23" s="152">
        <f t="shared" si="4"/>
        <v>4.8674176604927843E-2</v>
      </c>
    </row>
    <row r="24" spans="1:25" ht="15.75" customHeight="1" thickBot="1">
      <c r="A24" s="216" t="s">
        <v>28</v>
      </c>
      <c r="B24" s="216"/>
      <c r="C24" s="11">
        <f>SUM(C17:C23)</f>
        <v>152716319</v>
      </c>
      <c r="D24" s="11">
        <f>SUM(D17:D23)</f>
        <v>78950530.629999995</v>
      </c>
      <c r="E24" s="12">
        <f t="shared" si="0"/>
        <v>0.51697507605588633</v>
      </c>
      <c r="F24" s="17">
        <f>SUM(F17:F23)</f>
        <v>40771450.880000003</v>
      </c>
      <c r="G24" s="27">
        <f t="shared" si="10"/>
        <v>38179079.75</v>
      </c>
      <c r="H24" s="27"/>
      <c r="J24" s="21"/>
      <c r="K24" s="164">
        <f>SUM(K17:K23)</f>
        <v>152716319</v>
      </c>
      <c r="L24" s="160">
        <f>SUM(L17:L23)</f>
        <v>78950530.629999995</v>
      </c>
      <c r="M24" s="153">
        <f t="shared" si="8"/>
        <v>0.51697507605588633</v>
      </c>
      <c r="N24" s="116">
        <f>SUM(N17:N23)</f>
        <v>156957414</v>
      </c>
      <c r="O24" s="116">
        <f>SUM(O17:O23)</f>
        <v>65665484.429999992</v>
      </c>
      <c r="P24" s="116">
        <f>SUM(P17:P23)</f>
        <v>154157461</v>
      </c>
      <c r="Q24" s="153">
        <f t="shared" si="9"/>
        <v>0.42596371271319777</v>
      </c>
      <c r="R24" s="116">
        <f>SUM(R17:R23)</f>
        <v>150487306</v>
      </c>
      <c r="S24" s="116">
        <f>SUM(S17:S23)</f>
        <v>57642529.210000008</v>
      </c>
      <c r="T24" s="116">
        <f>SUM(T17:T23)</f>
        <v>145962457.22</v>
      </c>
      <c r="U24" s="153">
        <f t="shared" si="3"/>
        <v>0.39491339285360938</v>
      </c>
      <c r="V24" s="116">
        <f>SUM(V17:V23)</f>
        <v>136743194</v>
      </c>
      <c r="W24" s="116">
        <f>SUM(W17:W23)</f>
        <v>58747906.509999998</v>
      </c>
      <c r="X24" s="116">
        <f>SUM(X17:X23)</f>
        <v>148636236.78999999</v>
      </c>
      <c r="Y24" s="153">
        <f t="shared" si="4"/>
        <v>0.39524619149906021</v>
      </c>
    </row>
    <row r="25" spans="1:25" ht="22.5" customHeight="1" thickTop="1">
      <c r="J25" s="21"/>
      <c r="K25" s="26"/>
    </row>
    <row r="26" spans="1:25">
      <c r="J26" s="21"/>
      <c r="K26" s="26"/>
    </row>
    <row r="40" spans="1:30">
      <c r="J40" s="135"/>
      <c r="K40" s="135"/>
    </row>
    <row r="41" spans="1:30">
      <c r="J41" s="135"/>
      <c r="K41" s="135"/>
    </row>
    <row r="42" spans="1:30">
      <c r="J42" s="135"/>
      <c r="K42" s="135"/>
    </row>
    <row r="43" spans="1:30">
      <c r="J43" s="135"/>
      <c r="K43" s="135"/>
    </row>
    <row r="44" spans="1:30">
      <c r="J44" s="135"/>
      <c r="K44" s="135"/>
    </row>
    <row r="45" spans="1:30">
      <c r="J45" s="135"/>
      <c r="K45" s="135"/>
    </row>
    <row r="46" spans="1:30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0" ht="12" customHeight="1">
      <c r="B47" s="18"/>
      <c r="C47" s="18"/>
      <c r="D47" s="18"/>
      <c r="E47" s="18"/>
      <c r="J47" s="135"/>
      <c r="K47" s="135"/>
    </row>
    <row r="48" spans="1:30" ht="36" customHeight="1">
      <c r="A48" s="217"/>
      <c r="B48" s="217"/>
      <c r="C48" s="19" t="s">
        <v>143</v>
      </c>
      <c r="D48" s="19" t="s">
        <v>150</v>
      </c>
      <c r="E48" s="19" t="s">
        <v>25</v>
      </c>
      <c r="F48" s="9" t="s">
        <v>13</v>
      </c>
      <c r="G48" s="10">
        <v>0.25</v>
      </c>
      <c r="H48" s="2" t="s">
        <v>45</v>
      </c>
      <c r="K48" s="154" t="s">
        <v>143</v>
      </c>
      <c r="L48" s="150" t="s">
        <v>148</v>
      </c>
      <c r="M48" s="151">
        <v>2011</v>
      </c>
      <c r="N48" s="150" t="s">
        <v>147</v>
      </c>
      <c r="O48" s="154" t="s">
        <v>99</v>
      </c>
      <c r="P48" s="150" t="s">
        <v>146</v>
      </c>
      <c r="Q48" s="151">
        <v>2010</v>
      </c>
      <c r="R48" s="150" t="s">
        <v>116</v>
      </c>
      <c r="S48" s="150" t="s">
        <v>1</v>
      </c>
      <c r="T48" s="150" t="s">
        <v>117</v>
      </c>
      <c r="U48" s="151">
        <v>2009</v>
      </c>
      <c r="V48" s="150" t="s">
        <v>118</v>
      </c>
      <c r="W48" s="150">
        <v>2009</v>
      </c>
      <c r="X48" s="150" t="s">
        <v>119</v>
      </c>
      <c r="Y48" s="150" t="s">
        <v>111</v>
      </c>
      <c r="Z48" s="150" t="s">
        <v>120</v>
      </c>
      <c r="AA48" s="151">
        <v>2008</v>
      </c>
      <c r="AB48" s="150" t="s">
        <v>121</v>
      </c>
      <c r="AC48" s="150">
        <v>2008</v>
      </c>
      <c r="AD48" s="150" t="s">
        <v>122</v>
      </c>
    </row>
    <row r="49" spans="1:30" ht="15.75" customHeight="1">
      <c r="A49" s="218" t="s">
        <v>30</v>
      </c>
      <c r="B49" s="219"/>
      <c r="C49" s="11">
        <f>K49</f>
        <v>315395</v>
      </c>
      <c r="D49" s="11">
        <f>L49</f>
        <v>56380</v>
      </c>
      <c r="E49" s="12">
        <f t="shared" ref="E49:E60" si="11">(D49/C49)</f>
        <v>0.17875996765960145</v>
      </c>
      <c r="F49" s="11">
        <f>+G49-D49</f>
        <v>22468.75</v>
      </c>
      <c r="G49" s="23">
        <f>C49*0.25</f>
        <v>78848.75</v>
      </c>
      <c r="H49" s="24">
        <f t="shared" ref="H49:H59" si="12">C49-D49</f>
        <v>259015</v>
      </c>
      <c r="I49" s="1">
        <v>0.25</v>
      </c>
      <c r="J49" s="135" t="s">
        <v>30</v>
      </c>
      <c r="K49" s="13">
        <v>315395</v>
      </c>
      <c r="L49" s="13">
        <v>56380</v>
      </c>
      <c r="M49" s="155">
        <f t="shared" ref="M49:M60" si="13">(L49/K49)</f>
        <v>0.17875996765960145</v>
      </c>
      <c r="N49" s="13">
        <f>K49-L49</f>
        <v>259015</v>
      </c>
      <c r="O49" s="13">
        <v>302496</v>
      </c>
      <c r="P49" s="13">
        <v>60196.95</v>
      </c>
      <c r="Q49" s="155">
        <f t="shared" ref="Q49:Q60" si="14">(P49/O49)</f>
        <v>0.19900081323389399</v>
      </c>
      <c r="R49" s="13">
        <f>O49-P49</f>
        <v>242299.05</v>
      </c>
      <c r="S49" s="13">
        <f>'FY 2009 Exp 01-06-10'!C2</f>
        <v>307595</v>
      </c>
      <c r="T49" s="13">
        <f>SUM('FY 2009 Exp 01-06-10'!F2:H2)</f>
        <v>51110.89</v>
      </c>
      <c r="U49" s="155">
        <f>T49/S49</f>
        <v>0.16616294153025896</v>
      </c>
      <c r="V49" s="13">
        <f>'FY 2009 Exp 01-06-10'!D2</f>
        <v>307595</v>
      </c>
      <c r="W49" s="155">
        <f>T49/V49</f>
        <v>0.16616294153025896</v>
      </c>
      <c r="X49" s="13">
        <f>S49-T49</f>
        <v>256484.11</v>
      </c>
      <c r="Y49" s="13">
        <f>'FY 2008 Exp 01-06-10'!C2</f>
        <v>326242</v>
      </c>
      <c r="Z49" s="13">
        <f>SUM('FY 2008 Exp 01-06-10'!F2:H2)</f>
        <v>44814.880000000005</v>
      </c>
      <c r="AA49" s="155">
        <f>Z49/Y49</f>
        <v>0.13736698524408264</v>
      </c>
      <c r="AB49" s="13">
        <f>'FY 2008 Exp 01-06-10'!D2</f>
        <v>326266</v>
      </c>
      <c r="AC49" s="155">
        <f>Z49/AB49</f>
        <v>0.13735688058210174</v>
      </c>
      <c r="AD49" s="13">
        <f>Y49-Z49</f>
        <v>281427.12</v>
      </c>
    </row>
    <row r="50" spans="1:30" ht="15.75" customHeight="1">
      <c r="A50" s="218" t="s">
        <v>123</v>
      </c>
      <c r="B50" s="219"/>
      <c r="C50" s="11">
        <f t="shared" ref="C50:C59" si="15">K50</f>
        <v>376370</v>
      </c>
      <c r="D50" s="11">
        <f t="shared" ref="D50:D59" si="16">L50</f>
        <v>155301</v>
      </c>
      <c r="E50" s="12">
        <f t="shared" si="11"/>
        <v>0.4126285304354757</v>
      </c>
      <c r="F50" s="22">
        <f t="shared" ref="F50:F60" si="17">+G50-D50</f>
        <v>-61208.5</v>
      </c>
      <c r="G50" s="25">
        <f t="shared" ref="G50:G60" si="18">C50*0.25</f>
        <v>94092.5</v>
      </c>
      <c r="H50" s="25">
        <f t="shared" si="12"/>
        <v>221069</v>
      </c>
      <c r="I50" s="1">
        <v>0.25</v>
      </c>
      <c r="J50" s="135" t="s">
        <v>123</v>
      </c>
      <c r="K50" s="156">
        <v>376370</v>
      </c>
      <c r="L50" s="156">
        <v>155301</v>
      </c>
      <c r="M50" s="155">
        <f t="shared" si="13"/>
        <v>0.4126285304354757</v>
      </c>
      <c r="N50" s="156">
        <f t="shared" ref="N50:N59" si="19">K50-L50</f>
        <v>221069</v>
      </c>
      <c r="O50" s="156">
        <v>411370</v>
      </c>
      <c r="P50" s="156">
        <v>53040.800000000003</v>
      </c>
      <c r="Q50" s="155">
        <f t="shared" si="14"/>
        <v>0.12893696672095681</v>
      </c>
      <c r="R50" s="156">
        <f t="shared" ref="R50:R59" si="20">O50-P50</f>
        <v>358329.2</v>
      </c>
      <c r="S50" s="156">
        <f>'FY 2009 Exp 01-06-10'!C3</f>
        <v>510370</v>
      </c>
      <c r="T50" s="156">
        <f>SUM('FY 2009 Exp 01-06-10'!F3:H3)</f>
        <v>220612.56</v>
      </c>
      <c r="U50" s="155">
        <f t="shared" ref="U50:U60" si="21">T50/S50</f>
        <v>0.43226004663283502</v>
      </c>
      <c r="V50" s="156">
        <f>'FY 2009 Exp 01-06-10'!D3</f>
        <v>575162</v>
      </c>
      <c r="W50" s="155">
        <f t="shared" ref="W50:W60" si="22">T50/V50</f>
        <v>0.38356595185356473</v>
      </c>
      <c r="X50" s="13">
        <f t="shared" ref="X50:X59" si="23">S50-T50</f>
        <v>289757.44</v>
      </c>
      <c r="Y50" s="156">
        <f>'FY 2008 Exp 01-06-10'!C3</f>
        <v>461110</v>
      </c>
      <c r="Z50" s="156">
        <f>SUM('FY 2008 Exp 01-06-10'!F3:H3)</f>
        <v>201003.53999999998</v>
      </c>
      <c r="AA50" s="155">
        <f t="shared" ref="AA50:AA60" si="24">Z50/Y50</f>
        <v>0.43591234195745043</v>
      </c>
      <c r="AB50" s="156">
        <f>'FY 2008 Exp 01-06-10'!D3</f>
        <v>497765</v>
      </c>
      <c r="AC50" s="155">
        <f t="shared" ref="AC50:AC60" si="25">Z50/AB50</f>
        <v>0.40381212017719198</v>
      </c>
      <c r="AD50" s="13">
        <f t="shared" ref="AD50:AD59" si="26">Y50-Z50</f>
        <v>260106.46000000002</v>
      </c>
    </row>
    <row r="51" spans="1:30" ht="15.75" customHeight="1">
      <c r="A51" s="218" t="s">
        <v>31</v>
      </c>
      <c r="B51" s="219"/>
      <c r="C51" s="11">
        <f t="shared" si="15"/>
        <v>2892101</v>
      </c>
      <c r="D51" s="11">
        <f t="shared" si="16"/>
        <v>409939</v>
      </c>
      <c r="E51" s="12">
        <f t="shared" si="11"/>
        <v>0.14174435816729775</v>
      </c>
      <c r="F51" s="28">
        <f t="shared" si="17"/>
        <v>313086.25</v>
      </c>
      <c r="G51" s="25">
        <f t="shared" si="18"/>
        <v>723025.25</v>
      </c>
      <c r="H51" s="25">
        <f t="shared" si="12"/>
        <v>2482162</v>
      </c>
      <c r="I51" s="1">
        <v>0.25</v>
      </c>
      <c r="J51" s="135" t="s">
        <v>31</v>
      </c>
      <c r="K51" s="156">
        <v>2892101</v>
      </c>
      <c r="L51" s="156">
        <v>409939</v>
      </c>
      <c r="M51" s="155">
        <f t="shared" si="13"/>
        <v>0.14174435816729775</v>
      </c>
      <c r="N51" s="156">
        <f t="shared" si="19"/>
        <v>2482162</v>
      </c>
      <c r="O51" s="156">
        <v>3263326</v>
      </c>
      <c r="P51" s="156">
        <v>397662.91</v>
      </c>
      <c r="Q51" s="155">
        <f t="shared" si="14"/>
        <v>0.12185816250046731</v>
      </c>
      <c r="R51" s="156">
        <f t="shared" si="20"/>
        <v>2865663.09</v>
      </c>
      <c r="S51" s="156">
        <f>'FY 2009 Exp 01-06-10'!C5</f>
        <v>3360551</v>
      </c>
      <c r="T51" s="156">
        <f>SUM('FY 2009 Exp 01-06-10'!F5:H5)</f>
        <v>413309.75</v>
      </c>
      <c r="U51" s="155">
        <f t="shared" si="21"/>
        <v>0.12298868548639791</v>
      </c>
      <c r="V51" s="156">
        <f>'FY 2009 Exp 01-06-10'!D5</f>
        <v>3258569</v>
      </c>
      <c r="W51" s="155">
        <f t="shared" si="22"/>
        <v>0.12683780825264096</v>
      </c>
      <c r="X51" s="13">
        <f t="shared" si="23"/>
        <v>2947241.25</v>
      </c>
      <c r="Y51" s="156">
        <f>'FY 2008 Exp 01-06-10'!C5</f>
        <v>2433415</v>
      </c>
      <c r="Z51" s="156">
        <f>SUM('FY 2008 Exp 01-06-10'!F5:H5)</f>
        <v>459684.51</v>
      </c>
      <c r="AA51" s="155">
        <f t="shared" si="24"/>
        <v>0.1889051024999846</v>
      </c>
      <c r="AB51" s="156">
        <f>'FY 2008 Exp 01-06-10'!D5</f>
        <v>3116351</v>
      </c>
      <c r="AC51" s="155">
        <f t="shared" si="25"/>
        <v>0.1475072961935289</v>
      </c>
      <c r="AD51" s="13">
        <f t="shared" si="26"/>
        <v>1973730.49</v>
      </c>
    </row>
    <row r="52" spans="1:30" ht="15.75" customHeight="1">
      <c r="A52" s="218" t="s">
        <v>15</v>
      </c>
      <c r="B52" s="219"/>
      <c r="C52" s="11">
        <f t="shared" si="15"/>
        <v>10586321</v>
      </c>
      <c r="D52" s="11">
        <f t="shared" si="16"/>
        <v>1935547</v>
      </c>
      <c r="E52" s="12">
        <f t="shared" si="11"/>
        <v>0.18283471661212616</v>
      </c>
      <c r="F52" s="28">
        <f t="shared" si="17"/>
        <v>711033.25</v>
      </c>
      <c r="G52" s="25">
        <f t="shared" si="18"/>
        <v>2646580.25</v>
      </c>
      <c r="H52" s="25">
        <f t="shared" si="12"/>
        <v>8650774</v>
      </c>
      <c r="I52" s="1">
        <v>0.25</v>
      </c>
      <c r="J52" s="135" t="s">
        <v>15</v>
      </c>
      <c r="K52" s="156">
        <v>10586321</v>
      </c>
      <c r="L52" s="156">
        <v>1935547</v>
      </c>
      <c r="M52" s="155">
        <f t="shared" si="13"/>
        <v>0.18283471661212616</v>
      </c>
      <c r="N52" s="156">
        <f t="shared" si="19"/>
        <v>8650774</v>
      </c>
      <c r="O52" s="156">
        <v>10604579</v>
      </c>
      <c r="P52" s="156">
        <v>2262421.56</v>
      </c>
      <c r="Q52" s="155">
        <f t="shared" si="14"/>
        <v>0.21334383571474172</v>
      </c>
      <c r="R52" s="156">
        <f t="shared" si="20"/>
        <v>8342157.4399999995</v>
      </c>
      <c r="S52" s="156">
        <f>'FY 2009 Exp 01-06-10'!C6</f>
        <v>10906229</v>
      </c>
      <c r="T52" s="156">
        <f>SUM('FY 2009 Exp 01-06-10'!F6:H6)</f>
        <v>1433663.59</v>
      </c>
      <c r="U52" s="155">
        <f t="shared" si="21"/>
        <v>0.13145364818582114</v>
      </c>
      <c r="V52" s="156">
        <f>'FY 2009 Exp 01-06-10'!D6</f>
        <v>11732575</v>
      </c>
      <c r="W52" s="155">
        <f t="shared" si="22"/>
        <v>0.12219513533900274</v>
      </c>
      <c r="X52" s="13">
        <f t="shared" si="23"/>
        <v>9472565.4100000001</v>
      </c>
      <c r="Y52" s="156">
        <f>'FY 2008 Exp 01-06-10'!C6</f>
        <v>9925189</v>
      </c>
      <c r="Z52" s="156">
        <f>SUM('FY 2008 Exp 01-06-10'!F6:H6)</f>
        <v>1742101.62</v>
      </c>
      <c r="AA52" s="155">
        <f t="shared" si="24"/>
        <v>0.17552326912867858</v>
      </c>
      <c r="AB52" s="156">
        <f>'FY 2008 Exp 01-06-10'!D6</f>
        <v>10190881</v>
      </c>
      <c r="AC52" s="155">
        <f t="shared" si="25"/>
        <v>0.17094710653573525</v>
      </c>
      <c r="AD52" s="13">
        <f t="shared" si="26"/>
        <v>8183087.3799999999</v>
      </c>
    </row>
    <row r="53" spans="1:30" ht="15.75" customHeight="1">
      <c r="A53" s="218" t="s">
        <v>14</v>
      </c>
      <c r="B53" s="219"/>
      <c r="C53" s="11">
        <f t="shared" si="15"/>
        <v>36594199</v>
      </c>
      <c r="D53" s="11">
        <f t="shared" si="16"/>
        <v>9673916</v>
      </c>
      <c r="E53" s="12">
        <f t="shared" si="11"/>
        <v>0.26435654459877644</v>
      </c>
      <c r="F53" s="22">
        <f t="shared" si="17"/>
        <v>-525366.25</v>
      </c>
      <c r="G53" s="25">
        <f t="shared" si="18"/>
        <v>9148549.75</v>
      </c>
      <c r="H53" s="25">
        <f t="shared" si="12"/>
        <v>26920283</v>
      </c>
      <c r="I53" s="1">
        <v>0.25</v>
      </c>
      <c r="J53" s="135" t="s">
        <v>151</v>
      </c>
      <c r="K53" s="156">
        <v>36594199</v>
      </c>
      <c r="L53" s="156">
        <v>9673916</v>
      </c>
      <c r="M53" s="155">
        <f t="shared" si="13"/>
        <v>0.26435654459877644</v>
      </c>
      <c r="N53" s="156">
        <f t="shared" si="19"/>
        <v>26920283</v>
      </c>
      <c r="O53" s="156">
        <v>36033186</v>
      </c>
      <c r="P53" s="156">
        <v>5852039.46</v>
      </c>
      <c r="Q53" s="155">
        <f t="shared" si="14"/>
        <v>0.1624069395362375</v>
      </c>
      <c r="R53" s="156">
        <f t="shared" si="20"/>
        <v>30181146.539999999</v>
      </c>
      <c r="S53" s="156">
        <f>'FY 2009 Exp 01-06-10'!C7</f>
        <v>34955768</v>
      </c>
      <c r="T53" s="156">
        <f>SUM('FY 2009 Exp 01-06-10'!F7:H7)</f>
        <v>4683735.96</v>
      </c>
      <c r="U53" s="155">
        <f t="shared" si="21"/>
        <v>0.13399036061802447</v>
      </c>
      <c r="V53" s="156">
        <f>'FY 2009 Exp 01-06-10'!D7</f>
        <v>31765451</v>
      </c>
      <c r="W53" s="155">
        <f t="shared" si="22"/>
        <v>0.14744748815308809</v>
      </c>
      <c r="X53" s="13">
        <f t="shared" si="23"/>
        <v>30272032.039999999</v>
      </c>
      <c r="Y53" s="156">
        <f>'FY 2008 Exp 01-06-10'!C7</f>
        <v>33931130</v>
      </c>
      <c r="Z53" s="156">
        <f>SUM('FY 2008 Exp 01-06-10'!F7:H7)</f>
        <v>3533866.62</v>
      </c>
      <c r="AA53" s="155">
        <f t="shared" si="24"/>
        <v>0.10414821492829741</v>
      </c>
      <c r="AB53" s="156">
        <f>'FY 2008 Exp 01-06-10'!D7</f>
        <v>30400731</v>
      </c>
      <c r="AC53" s="155">
        <f t="shared" si="25"/>
        <v>0.11624281731909671</v>
      </c>
      <c r="AD53" s="13">
        <f t="shared" si="26"/>
        <v>30397263.379999999</v>
      </c>
    </row>
    <row r="54" spans="1:30" ht="15.75" customHeight="1">
      <c r="A54" s="218" t="s">
        <v>124</v>
      </c>
      <c r="B54" s="219"/>
      <c r="C54" s="11">
        <f t="shared" si="15"/>
        <v>12350821</v>
      </c>
      <c r="D54" s="11">
        <f t="shared" si="16"/>
        <v>2124662</v>
      </c>
      <c r="E54" s="12">
        <f t="shared" si="11"/>
        <v>0.17202597301021527</v>
      </c>
      <c r="F54" s="28">
        <f t="shared" si="17"/>
        <v>963043.25</v>
      </c>
      <c r="G54" s="25">
        <f t="shared" si="18"/>
        <v>3087705.25</v>
      </c>
      <c r="H54" s="25">
        <f t="shared" si="12"/>
        <v>10226159</v>
      </c>
      <c r="I54" s="1">
        <v>0.25</v>
      </c>
      <c r="J54" s="135" t="s">
        <v>124</v>
      </c>
      <c r="K54" s="156">
        <v>12350821</v>
      </c>
      <c r="L54" s="156">
        <v>2124662</v>
      </c>
      <c r="M54" s="155">
        <f t="shared" si="13"/>
        <v>0.17202597301021527</v>
      </c>
      <c r="N54" s="156">
        <f t="shared" si="19"/>
        <v>10226159</v>
      </c>
      <c r="O54" s="156">
        <v>11603014</v>
      </c>
      <c r="P54" s="156">
        <v>2506376.27</v>
      </c>
      <c r="Q54" s="155">
        <f t="shared" si="14"/>
        <v>0.21601079426431788</v>
      </c>
      <c r="R54" s="156">
        <f t="shared" si="20"/>
        <v>9096637.7300000004</v>
      </c>
      <c r="S54" s="156">
        <f>'FY 2009 Exp 01-06-10'!C8</f>
        <v>11138553</v>
      </c>
      <c r="T54" s="156">
        <f>SUM('FY 2009 Exp 01-06-10'!F8:H8)</f>
        <v>2599794.9000000004</v>
      </c>
      <c r="U54" s="155">
        <f t="shared" si="21"/>
        <v>0.23340508412537969</v>
      </c>
      <c r="V54" s="156">
        <f>'FY 2009 Exp 01-06-10'!D8</f>
        <v>12178567</v>
      </c>
      <c r="W54" s="155">
        <f t="shared" si="22"/>
        <v>0.2134729726411983</v>
      </c>
      <c r="X54" s="13">
        <f t="shared" si="23"/>
        <v>8538758.0999999996</v>
      </c>
      <c r="Y54" s="156">
        <f>'FY 2008 Exp 01-06-10'!C8</f>
        <v>10691922</v>
      </c>
      <c r="Z54" s="156">
        <f>SUM('FY 2008 Exp 01-06-10'!F8:H8)</f>
        <v>1446088.6300000001</v>
      </c>
      <c r="AA54" s="155">
        <f t="shared" si="24"/>
        <v>0.13525057795969705</v>
      </c>
      <c r="AB54" s="156">
        <f>'FY 2008 Exp 01-06-10'!D8</f>
        <v>11576518</v>
      </c>
      <c r="AC54" s="155">
        <f t="shared" si="25"/>
        <v>0.12491568103638763</v>
      </c>
      <c r="AD54" s="13">
        <f t="shared" si="26"/>
        <v>9245833.3699999992</v>
      </c>
    </row>
    <row r="55" spans="1:30" ht="15.75" customHeight="1">
      <c r="A55" s="218" t="s">
        <v>32</v>
      </c>
      <c r="B55" s="219"/>
      <c r="C55" s="11">
        <f t="shared" si="15"/>
        <v>14589387</v>
      </c>
      <c r="D55" s="11">
        <f t="shared" si="16"/>
        <v>2826657</v>
      </c>
      <c r="E55" s="12">
        <f t="shared" si="11"/>
        <v>0.19374748233082034</v>
      </c>
      <c r="F55" s="28">
        <f t="shared" si="17"/>
        <v>820689.75</v>
      </c>
      <c r="G55" s="25">
        <f t="shared" si="18"/>
        <v>3647346.75</v>
      </c>
      <c r="H55" s="25">
        <f t="shared" si="12"/>
        <v>11762730</v>
      </c>
      <c r="I55" s="1">
        <v>0.25</v>
      </c>
      <c r="J55" s="135" t="s">
        <v>32</v>
      </c>
      <c r="K55" s="156">
        <v>14589387</v>
      </c>
      <c r="L55" s="156">
        <v>2826657</v>
      </c>
      <c r="M55" s="155">
        <f t="shared" si="13"/>
        <v>0.19374748233082034</v>
      </c>
      <c r="N55" s="156">
        <f t="shared" si="19"/>
        <v>11762730</v>
      </c>
      <c r="O55" s="156">
        <v>14742575</v>
      </c>
      <c r="P55" s="156">
        <v>3094036.91</v>
      </c>
      <c r="Q55" s="155">
        <f t="shared" si="14"/>
        <v>0.20987086109448316</v>
      </c>
      <c r="R55" s="156">
        <f t="shared" si="20"/>
        <v>11648538.09</v>
      </c>
      <c r="S55" s="156">
        <f>'FY 2009 Exp 01-06-10'!C9</f>
        <v>14546174</v>
      </c>
      <c r="T55" s="156">
        <f>SUM('FY 2009 Exp 01-06-10'!F9:H9)</f>
        <v>2390236.9299999997</v>
      </c>
      <c r="U55" s="155">
        <f t="shared" si="21"/>
        <v>0.16432066122679406</v>
      </c>
      <c r="V55" s="156">
        <f>'FY 2009 Exp 01-06-10'!D9</f>
        <v>14631394</v>
      </c>
      <c r="W55" s="155">
        <f t="shared" si="22"/>
        <v>0.16336358176124569</v>
      </c>
      <c r="X55" s="13">
        <f t="shared" si="23"/>
        <v>12155937.07</v>
      </c>
      <c r="Y55" s="156">
        <f>'FY 2008 Exp 01-06-10'!C9</f>
        <v>13877308</v>
      </c>
      <c r="Z55" s="156">
        <f>SUM('FY 2008 Exp 01-06-10'!F9:H9)</f>
        <v>2355398.4899999998</v>
      </c>
      <c r="AA55" s="155">
        <f t="shared" si="24"/>
        <v>0.16973021640796615</v>
      </c>
      <c r="AB55" s="156">
        <f>'FY 2008 Exp 01-06-10'!D9</f>
        <v>14249804</v>
      </c>
      <c r="AC55" s="155">
        <f t="shared" si="25"/>
        <v>0.16529339561442388</v>
      </c>
      <c r="AD55" s="13">
        <f t="shared" si="26"/>
        <v>11521909.51</v>
      </c>
    </row>
    <row r="56" spans="1:30" ht="15.75" customHeight="1">
      <c r="A56" s="218" t="s">
        <v>33</v>
      </c>
      <c r="B56" s="219"/>
      <c r="C56" s="11">
        <f t="shared" si="15"/>
        <v>10895570</v>
      </c>
      <c r="D56" s="11">
        <f t="shared" si="16"/>
        <v>2136273</v>
      </c>
      <c r="E56" s="12">
        <f t="shared" si="11"/>
        <v>0.19606803499036765</v>
      </c>
      <c r="F56" s="28">
        <f t="shared" si="17"/>
        <v>587619.5</v>
      </c>
      <c r="G56" s="25">
        <f t="shared" si="18"/>
        <v>2723892.5</v>
      </c>
      <c r="H56" s="25">
        <f t="shared" si="12"/>
        <v>8759297</v>
      </c>
      <c r="I56" s="1">
        <v>0.25</v>
      </c>
      <c r="J56" s="135" t="s">
        <v>33</v>
      </c>
      <c r="K56" s="156">
        <v>10895570</v>
      </c>
      <c r="L56" s="156">
        <v>2136273</v>
      </c>
      <c r="M56" s="155">
        <f t="shared" si="13"/>
        <v>0.19606803499036765</v>
      </c>
      <c r="N56" s="156">
        <f t="shared" si="19"/>
        <v>8759297</v>
      </c>
      <c r="O56" s="156">
        <v>10775827</v>
      </c>
      <c r="P56" s="156">
        <v>2477263.4</v>
      </c>
      <c r="Q56" s="155">
        <f t="shared" si="14"/>
        <v>0.22989079167659243</v>
      </c>
      <c r="R56" s="156">
        <f t="shared" si="20"/>
        <v>8298563.5999999996</v>
      </c>
      <c r="S56" s="156">
        <f>'FY 2009 Exp 01-06-10'!C10</f>
        <v>10460745</v>
      </c>
      <c r="T56" s="156">
        <f>SUM('FY 2009 Exp 01-06-10'!F10:H10)</f>
        <v>1812094.8599999999</v>
      </c>
      <c r="U56" s="155">
        <f t="shared" si="21"/>
        <v>0.1732280884392077</v>
      </c>
      <c r="V56" s="156">
        <f>'FY 2009 Exp 01-06-10'!D10</f>
        <v>10518776</v>
      </c>
      <c r="W56" s="155">
        <f t="shared" si="22"/>
        <v>0.17227240697967139</v>
      </c>
      <c r="X56" s="13">
        <f t="shared" si="23"/>
        <v>8648650.1400000006</v>
      </c>
      <c r="Y56" s="156">
        <f>'FY 2008 Exp 01-06-10'!C10</f>
        <v>10121330</v>
      </c>
      <c r="Z56" s="156">
        <f>SUM('FY 2008 Exp 01-06-10'!F10:H10)</f>
        <v>1694852.03</v>
      </c>
      <c r="AA56" s="155">
        <f t="shared" si="24"/>
        <v>0.16745348980815764</v>
      </c>
      <c r="AB56" s="156">
        <f>'FY 2008 Exp 01-06-10'!D10</f>
        <v>10185578</v>
      </c>
      <c r="AC56" s="155">
        <f t="shared" si="25"/>
        <v>0.16639723636694942</v>
      </c>
      <c r="AD56" s="13">
        <f t="shared" si="26"/>
        <v>8426477.9700000007</v>
      </c>
    </row>
    <row r="57" spans="1:30" ht="15.75" customHeight="1">
      <c r="A57" s="218" t="s">
        <v>34</v>
      </c>
      <c r="B57" s="219"/>
      <c r="C57" s="11">
        <f t="shared" si="15"/>
        <v>10218116</v>
      </c>
      <c r="D57" s="11">
        <f t="shared" si="16"/>
        <v>1880818</v>
      </c>
      <c r="E57" s="12">
        <f t="shared" si="11"/>
        <v>0.18406700413266008</v>
      </c>
      <c r="F57" s="28">
        <f t="shared" si="17"/>
        <v>673711</v>
      </c>
      <c r="G57" s="25">
        <f t="shared" si="18"/>
        <v>2554529</v>
      </c>
      <c r="H57" s="25">
        <f t="shared" si="12"/>
        <v>8337298</v>
      </c>
      <c r="I57" s="1">
        <v>0.25</v>
      </c>
      <c r="J57" s="135" t="s">
        <v>34</v>
      </c>
      <c r="K57" s="156">
        <v>10218116</v>
      </c>
      <c r="L57" s="156">
        <v>1880818</v>
      </c>
      <c r="M57" s="155">
        <f t="shared" si="13"/>
        <v>0.18406700413266008</v>
      </c>
      <c r="N57" s="156">
        <f t="shared" si="19"/>
        <v>8337298</v>
      </c>
      <c r="O57" s="156">
        <v>10781064</v>
      </c>
      <c r="P57" s="156">
        <v>1969355.35</v>
      </c>
      <c r="Q57" s="155">
        <f t="shared" si="14"/>
        <v>0.18266799547799736</v>
      </c>
      <c r="R57" s="156">
        <f t="shared" si="20"/>
        <v>8811708.6500000004</v>
      </c>
      <c r="S57" s="156">
        <f>'FY 2009 Exp 01-06-10'!C11</f>
        <v>10829424</v>
      </c>
      <c r="T57" s="156">
        <f>SUM('FY 2009 Exp 01-06-10'!F11:H11)</f>
        <v>1697420.5</v>
      </c>
      <c r="U57" s="155">
        <f t="shared" si="21"/>
        <v>0.1567415312208664</v>
      </c>
      <c r="V57" s="156">
        <f>'FY 2009 Exp 01-06-10'!D11</f>
        <v>11207054</v>
      </c>
      <c r="W57" s="155">
        <f t="shared" si="22"/>
        <v>0.15146000902645779</v>
      </c>
      <c r="X57" s="13">
        <f t="shared" si="23"/>
        <v>9132003.5</v>
      </c>
      <c r="Y57" s="156">
        <f>'FY 2008 Exp 01-06-10'!C11</f>
        <v>10503495</v>
      </c>
      <c r="Z57" s="156">
        <f>SUM('FY 2008 Exp 01-06-10'!F11:H11)</f>
        <v>1727738.63</v>
      </c>
      <c r="AA57" s="155">
        <f t="shared" si="24"/>
        <v>0.16449178392525535</v>
      </c>
      <c r="AB57" s="156">
        <f>'FY 2008 Exp 01-06-10'!D11</f>
        <v>11177385</v>
      </c>
      <c r="AC57" s="155">
        <f t="shared" si="25"/>
        <v>0.15457449394469278</v>
      </c>
      <c r="AD57" s="13">
        <f t="shared" si="26"/>
        <v>8775756.370000001</v>
      </c>
    </row>
    <row r="58" spans="1:30" ht="15.75" customHeight="1">
      <c r="A58" s="218" t="s">
        <v>35</v>
      </c>
      <c r="B58" s="219"/>
      <c r="C58" s="11">
        <f t="shared" si="15"/>
        <v>45505343</v>
      </c>
      <c r="D58" s="11">
        <f t="shared" si="16"/>
        <v>10123249</v>
      </c>
      <c r="E58" s="12">
        <f t="shared" si="11"/>
        <v>0.22246286551449573</v>
      </c>
      <c r="F58" s="28">
        <f t="shared" si="17"/>
        <v>1253086.75</v>
      </c>
      <c r="G58" s="25">
        <f>C58*0.25</f>
        <v>11376335.75</v>
      </c>
      <c r="H58" s="25">
        <f>C58-D58</f>
        <v>35382094</v>
      </c>
      <c r="I58" s="1">
        <v>0.25</v>
      </c>
      <c r="J58" s="135" t="s">
        <v>35</v>
      </c>
      <c r="K58" s="156">
        <v>45505343</v>
      </c>
      <c r="L58" s="156">
        <v>10123249</v>
      </c>
      <c r="M58" s="155">
        <f t="shared" si="13"/>
        <v>0.22246286551449573</v>
      </c>
      <c r="N58" s="156">
        <f t="shared" si="19"/>
        <v>35382094</v>
      </c>
      <c r="O58" s="156">
        <v>45971504</v>
      </c>
      <c r="P58" s="156">
        <v>10570096.859999999</v>
      </c>
      <c r="Q58" s="155">
        <f t="shared" si="14"/>
        <v>0.22992714921835056</v>
      </c>
      <c r="R58" s="156">
        <f t="shared" si="20"/>
        <v>35401407.140000001</v>
      </c>
      <c r="S58" s="156">
        <f>'FY 2009 Exp 01-06-10'!C12</f>
        <v>44763416</v>
      </c>
      <c r="T58" s="156">
        <f>SUM('FY 2009 Exp 01-06-10'!F12:H12)</f>
        <v>8279918.04</v>
      </c>
      <c r="U58" s="155">
        <f t="shared" si="21"/>
        <v>0.18497064745907685</v>
      </c>
      <c r="V58" s="156">
        <f>'FY 2009 Exp 01-06-10'!D12</f>
        <v>45148643</v>
      </c>
      <c r="W58" s="155">
        <f t="shared" si="22"/>
        <v>0.18339240096319173</v>
      </c>
      <c r="X58" s="13">
        <f t="shared" si="23"/>
        <v>36483497.960000001</v>
      </c>
      <c r="Y58" s="156">
        <f>'FY 2008 Exp 01-06-10'!C12</f>
        <v>44214975</v>
      </c>
      <c r="Z58" s="156">
        <f>SUM('FY 2008 Exp 01-06-10'!F12:H12)</f>
        <v>8113518.5800000001</v>
      </c>
      <c r="AA58" s="155">
        <f t="shared" si="24"/>
        <v>0.18350159827072163</v>
      </c>
      <c r="AB58" s="156">
        <f>'FY 2008 Exp 01-06-10'!D12</f>
        <v>44791732</v>
      </c>
      <c r="AC58" s="155">
        <f t="shared" si="25"/>
        <v>0.18113875525063419</v>
      </c>
      <c r="AD58" s="13">
        <f t="shared" si="26"/>
        <v>36101456.420000002</v>
      </c>
    </row>
    <row r="59" spans="1:30" ht="15.75" customHeight="1" thickBot="1">
      <c r="A59" s="218" t="s">
        <v>36</v>
      </c>
      <c r="B59" s="219"/>
      <c r="C59" s="11">
        <f t="shared" si="15"/>
        <v>9355000</v>
      </c>
      <c r="D59" s="11">
        <f t="shared" si="16"/>
        <v>2905000</v>
      </c>
      <c r="E59" s="12">
        <f t="shared" si="11"/>
        <v>0.310529128808124</v>
      </c>
      <c r="F59" s="22">
        <f t="shared" si="17"/>
        <v>-566250</v>
      </c>
      <c r="G59" s="25">
        <f t="shared" si="18"/>
        <v>2338750</v>
      </c>
      <c r="H59" s="25">
        <f t="shared" si="12"/>
        <v>6450000</v>
      </c>
      <c r="I59" s="1">
        <v>0.25</v>
      </c>
      <c r="J59" s="135" t="s">
        <v>36</v>
      </c>
      <c r="K59" s="158">
        <v>9355000</v>
      </c>
      <c r="L59" s="158">
        <v>2905000</v>
      </c>
      <c r="M59" s="152">
        <f t="shared" si="13"/>
        <v>0.310529128808124</v>
      </c>
      <c r="N59" s="158">
        <f t="shared" si="19"/>
        <v>6450000</v>
      </c>
      <c r="O59" s="158">
        <v>8370000</v>
      </c>
      <c r="P59" s="158">
        <v>0</v>
      </c>
      <c r="Q59" s="152">
        <f t="shared" si="14"/>
        <v>0</v>
      </c>
      <c r="R59" s="158">
        <f t="shared" si="20"/>
        <v>8370000</v>
      </c>
      <c r="S59" s="158">
        <f>'FY 2009 Exp 01-06-10'!C14</f>
        <v>8707782</v>
      </c>
      <c r="T59" s="158">
        <f>SUM('FY 2009 Exp 01-06-10'!F14:H14)</f>
        <v>2000000</v>
      </c>
      <c r="U59" s="152">
        <f t="shared" si="21"/>
        <v>0.22967961301741363</v>
      </c>
      <c r="V59" s="158">
        <f>'FY 2009 Exp 01-06-10'!D14</f>
        <v>13464262</v>
      </c>
      <c r="W59" s="152">
        <f t="shared" si="22"/>
        <v>0.14854137568030093</v>
      </c>
      <c r="X59" s="159">
        <f t="shared" si="23"/>
        <v>6707782</v>
      </c>
      <c r="Y59" s="158">
        <f>'FY 2008 Exp 01-06-10'!C14</f>
        <v>9046853</v>
      </c>
      <c r="Z59" s="158">
        <f>SUM('FY 2008 Exp 01-06-10'!F14:H14)</f>
        <v>1000000</v>
      </c>
      <c r="AA59" s="152">
        <f t="shared" si="24"/>
        <v>0.11053567467051803</v>
      </c>
      <c r="AB59" s="158">
        <f>'FY 2008 Exp 01-06-10'!D14</f>
        <v>19089565</v>
      </c>
      <c r="AC59" s="152">
        <f t="shared" si="25"/>
        <v>5.2384640509094887E-2</v>
      </c>
      <c r="AD59" s="159">
        <f t="shared" si="26"/>
        <v>8046853</v>
      </c>
    </row>
    <row r="60" spans="1:30" ht="15.75" customHeight="1" thickBot="1">
      <c r="A60" s="220" t="s">
        <v>28</v>
      </c>
      <c r="B60" s="221"/>
      <c r="C60" s="20">
        <f>SUM(C49:C59)</f>
        <v>153678623</v>
      </c>
      <c r="D60" s="20">
        <f>SUM(D49:D59)</f>
        <v>34227742</v>
      </c>
      <c r="E60" s="12">
        <f t="shared" si="11"/>
        <v>0.22272285716667309</v>
      </c>
      <c r="F60" s="13">
        <f t="shared" si="17"/>
        <v>4191913.75</v>
      </c>
      <c r="G60" s="14">
        <f t="shared" si="18"/>
        <v>38419655.75</v>
      </c>
      <c r="J60" s="107"/>
      <c r="K60" s="157">
        <f>SUM(K49:K59)</f>
        <v>153678623</v>
      </c>
      <c r="L60" s="157">
        <f>SUM(L49:L59)</f>
        <v>34227742</v>
      </c>
      <c r="M60" s="153">
        <f t="shared" si="13"/>
        <v>0.22272285716667309</v>
      </c>
      <c r="N60" s="157">
        <f>SUM(N49:N59)</f>
        <v>119450881</v>
      </c>
      <c r="O60" s="157">
        <f>SUM(O49:O59)</f>
        <v>152858941</v>
      </c>
      <c r="P60" s="157">
        <f>SUM(P49:P59)</f>
        <v>29242490.469999999</v>
      </c>
      <c r="Q60" s="153">
        <f t="shared" si="14"/>
        <v>0.19130376200892299</v>
      </c>
      <c r="R60" s="157">
        <f>SUM(R49:R59)</f>
        <v>123616450.53</v>
      </c>
      <c r="S60" s="157">
        <f t="shared" ref="S60:AD60" si="27">SUM(S49:S59)</f>
        <v>150486607</v>
      </c>
      <c r="T60" s="157">
        <f t="shared" si="27"/>
        <v>25581897.98</v>
      </c>
      <c r="U60" s="153">
        <f t="shared" si="21"/>
        <v>0.16999451638908969</v>
      </c>
      <c r="V60" s="157">
        <f t="shared" si="27"/>
        <v>154788048</v>
      </c>
      <c r="W60" s="153">
        <f t="shared" si="22"/>
        <v>0.16527049930883553</v>
      </c>
      <c r="X60" s="157">
        <f t="shared" si="27"/>
        <v>124904709.02000001</v>
      </c>
      <c r="Y60" s="157">
        <f t="shared" si="27"/>
        <v>145532969</v>
      </c>
      <c r="Z60" s="157">
        <f t="shared" si="27"/>
        <v>22319067.530000001</v>
      </c>
      <c r="AA60" s="153">
        <f t="shared" si="24"/>
        <v>0.1533609029167817</v>
      </c>
      <c r="AB60" s="157">
        <f t="shared" si="27"/>
        <v>155602576</v>
      </c>
      <c r="AC60" s="153">
        <f t="shared" si="25"/>
        <v>0.14343636271163018</v>
      </c>
      <c r="AD60" s="157">
        <f t="shared" si="27"/>
        <v>123213901.47</v>
      </c>
    </row>
    <row r="61" spans="1:30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0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</sheetData>
  <mergeCells count="26">
    <mergeCell ref="A58:B58"/>
    <mergeCell ref="A19:B19"/>
    <mergeCell ref="A20:B20"/>
    <mergeCell ref="B3:D3"/>
    <mergeCell ref="A13:F13"/>
    <mergeCell ref="A16:B16"/>
    <mergeCell ref="A17:B17"/>
    <mergeCell ref="A18:B18"/>
    <mergeCell ref="A21:B21"/>
    <mergeCell ref="A22:B22"/>
    <mergeCell ref="A60:B60"/>
    <mergeCell ref="A14:F14"/>
    <mergeCell ref="A46:F46"/>
    <mergeCell ref="A55:B55"/>
    <mergeCell ref="A56:B56"/>
    <mergeCell ref="A57:B57"/>
    <mergeCell ref="A59:B59"/>
    <mergeCell ref="A51:B51"/>
    <mergeCell ref="A52:B52"/>
    <mergeCell ref="A53:B53"/>
    <mergeCell ref="A23:B23"/>
    <mergeCell ref="A24:B24"/>
    <mergeCell ref="A54:B54"/>
    <mergeCell ref="A48:B48"/>
    <mergeCell ref="A49:B49"/>
    <mergeCell ref="A50:B50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E25" zoomScaleNormal="100" workbookViewId="0">
      <selection activeCell="L49" sqref="L49:L5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1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1.125" style="2" bestFit="1" customWidth="1"/>
    <col min="20" max="20" width="12.5" style="2" bestFit="1" customWidth="1"/>
    <col min="21" max="21" width="11.125" style="2" bestFit="1" customWidth="1"/>
    <col min="22" max="22" width="13.25" style="2" bestFit="1" customWidth="1"/>
    <col min="23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56</v>
      </c>
    </row>
    <row r="3" spans="1:21" ht="15.95" customHeight="1">
      <c r="B3" s="202" t="s">
        <v>43</v>
      </c>
      <c r="C3" s="202"/>
      <c r="D3" s="202"/>
      <c r="E3" s="3"/>
      <c r="F3" s="3" t="s">
        <v>57</v>
      </c>
    </row>
    <row r="4" spans="1:21" ht="15.95" customHeight="1">
      <c r="E4" s="3"/>
      <c r="F4" s="3" t="s">
        <v>58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38</v>
      </c>
      <c r="B8" s="7" t="s">
        <v>39</v>
      </c>
    </row>
    <row r="9" spans="1:21" ht="19.5" customHeight="1">
      <c r="A9" s="6" t="s">
        <v>40</v>
      </c>
      <c r="B9" s="7" t="s">
        <v>98</v>
      </c>
    </row>
    <row r="10" spans="1:21" ht="19.5" customHeight="1">
      <c r="A10" s="6" t="s">
        <v>41</v>
      </c>
      <c r="B10" s="8">
        <v>40466</v>
      </c>
    </row>
    <row r="11" spans="1:21" ht="19.5" customHeight="1">
      <c r="A11" s="6" t="s">
        <v>42</v>
      </c>
      <c r="B11" s="7" t="s">
        <v>139</v>
      </c>
    </row>
    <row r="12" spans="1:21" ht="19.5" customHeight="1">
      <c r="A12" s="6"/>
      <c r="B12" s="7"/>
    </row>
    <row r="13" spans="1:21" ht="50.1" customHeight="1">
      <c r="A13" s="212"/>
      <c r="B13" s="212"/>
      <c r="C13" s="212"/>
      <c r="D13" s="212"/>
      <c r="E13" s="212"/>
      <c r="F13" s="212"/>
    </row>
    <row r="14" spans="1:21" ht="31.5" customHeight="1">
      <c r="A14" s="213" t="s">
        <v>29</v>
      </c>
      <c r="B14" s="213"/>
      <c r="C14" s="213"/>
      <c r="D14" s="213"/>
      <c r="E14" s="213"/>
      <c r="F14" s="213"/>
    </row>
    <row r="15" spans="1:21">
      <c r="K15" s="134"/>
      <c r="L15" s="134"/>
      <c r="M15" s="134"/>
      <c r="N15" s="134"/>
    </row>
    <row r="16" spans="1:21" ht="38.25">
      <c r="A16" s="214"/>
      <c r="B16" s="214"/>
      <c r="C16" s="9" t="s">
        <v>99</v>
      </c>
      <c r="D16" s="9" t="s">
        <v>46</v>
      </c>
      <c r="E16" s="9" t="s">
        <v>25</v>
      </c>
      <c r="F16" s="9" t="s">
        <v>59</v>
      </c>
      <c r="G16" s="10"/>
      <c r="H16" s="2" t="s">
        <v>44</v>
      </c>
      <c r="I16" s="10">
        <v>1</v>
      </c>
      <c r="K16" s="9" t="s">
        <v>99</v>
      </c>
      <c r="L16" s="9" t="s">
        <v>109</v>
      </c>
      <c r="M16" s="9">
        <v>2010</v>
      </c>
      <c r="N16" s="9" t="s">
        <v>1</v>
      </c>
      <c r="O16" s="9" t="s">
        <v>133</v>
      </c>
      <c r="P16" s="9" t="s">
        <v>113</v>
      </c>
      <c r="Q16" s="9">
        <v>2009</v>
      </c>
      <c r="R16" s="9" t="s">
        <v>111</v>
      </c>
      <c r="S16" s="9" t="s">
        <v>134</v>
      </c>
      <c r="T16" s="9" t="s">
        <v>114</v>
      </c>
      <c r="U16" s="9">
        <v>2008</v>
      </c>
    </row>
    <row r="17" spans="1:21" ht="15.75" customHeight="1">
      <c r="A17" s="215" t="s">
        <v>26</v>
      </c>
      <c r="B17" s="215"/>
      <c r="C17" s="11">
        <f>'FY 2010 Rev as of 01-04-10'!D4</f>
        <v>130450730</v>
      </c>
      <c r="D17" s="11">
        <f t="shared" ref="D17:D23" si="0">L17</f>
        <v>129998044.09</v>
      </c>
      <c r="E17" s="12">
        <f t="shared" ref="E17:E24" si="1">(D17/C17)</f>
        <v>0.99652983229760383</v>
      </c>
      <c r="F17" s="29">
        <f>D17-C17</f>
        <v>-452685.90999999642</v>
      </c>
      <c r="G17" s="14"/>
      <c r="H17" s="15">
        <f t="shared" ref="H17:H22" si="2">C17-D17</f>
        <v>452685.90999999642</v>
      </c>
      <c r="I17" s="10">
        <v>1</v>
      </c>
      <c r="J17" s="21" t="str">
        <f t="shared" ref="J17:J23" si="3">A17</f>
        <v>Current / Delinquent Taxes</v>
      </c>
      <c r="K17" s="11">
        <f t="shared" ref="K17:K23" si="4">C17</f>
        <v>130450730</v>
      </c>
      <c r="L17" s="11">
        <f>'FY2010 Rev as of 10-13-10'!C3</f>
        <v>129998044.09</v>
      </c>
      <c r="M17" s="12">
        <f t="shared" ref="M17:M24" si="5">(L17/K17)</f>
        <v>0.99652983229760383</v>
      </c>
      <c r="N17" s="11">
        <f>'FY 2009 Rev 01-04-10'!E3</f>
        <v>119221816</v>
      </c>
      <c r="O17" s="11">
        <f>SUM('FY 2009 Rev 01-04-10'!F3:Q3)</f>
        <v>119765132.67000002</v>
      </c>
      <c r="P17" s="11">
        <f>'FY 2009 Rev 01-04-10'!D3</f>
        <v>119967823.45</v>
      </c>
      <c r="Q17" s="12">
        <f t="shared" ref="Q17:Q24" si="6">O17/P17</f>
        <v>0.99831045713616318</v>
      </c>
      <c r="R17" s="11">
        <f>'FY 2008 Rev 01-04-10'!E3</f>
        <v>106565989</v>
      </c>
      <c r="S17" s="11">
        <f>SUM('FY 2008 Rev 01-04-10'!F3:Q3)</f>
        <v>117399101.35000001</v>
      </c>
      <c r="T17" s="11">
        <f>'FY 2008 Rev 01-04-10'!D3</f>
        <v>117399101.34999999</v>
      </c>
      <c r="U17" s="12">
        <f t="shared" ref="U17:U24" si="7">S17/T17</f>
        <v>1.0000000000000002</v>
      </c>
    </row>
    <row r="18" spans="1:21" ht="15.75" customHeight="1">
      <c r="A18" s="215" t="s">
        <v>102</v>
      </c>
      <c r="B18" s="215"/>
      <c r="C18" s="16">
        <f>'FY 2010 Rev as of 01-04-10'!D7</f>
        <v>4000</v>
      </c>
      <c r="D18" s="11">
        <f t="shared" si="0"/>
        <v>2500</v>
      </c>
      <c r="E18" s="12">
        <f t="shared" si="1"/>
        <v>0.625</v>
      </c>
      <c r="F18" s="29">
        <f t="shared" ref="F18:F23" si="8">D18-C18</f>
        <v>-1500</v>
      </c>
      <c r="G18" s="14"/>
      <c r="H18" s="15">
        <f t="shared" si="2"/>
        <v>1500</v>
      </c>
      <c r="I18" s="10">
        <v>1</v>
      </c>
      <c r="J18" s="21" t="str">
        <f t="shared" si="3"/>
        <v>License / Permits</v>
      </c>
      <c r="K18" s="16">
        <f t="shared" si="4"/>
        <v>4000</v>
      </c>
      <c r="L18" s="28">
        <f>'FY2010 Rev as of 10-13-10'!C7</f>
        <v>2500</v>
      </c>
      <c r="M18" s="12">
        <f t="shared" si="5"/>
        <v>0.625</v>
      </c>
      <c r="N18" s="28">
        <f>'FY 2009 Rev 01-04-10'!E6</f>
        <v>4000</v>
      </c>
      <c r="O18" s="28">
        <f>SUM('FY 2009 Rev 01-04-10'!F6:Q6)</f>
        <v>4000</v>
      </c>
      <c r="P18" s="28">
        <f>'FY 2009 Rev 01-04-10'!D6</f>
        <v>4000</v>
      </c>
      <c r="Q18" s="12">
        <f t="shared" si="6"/>
        <v>1</v>
      </c>
      <c r="R18" s="28">
        <f>'FY 2008 Rev 01-04-10'!E6</f>
        <v>4200</v>
      </c>
      <c r="S18" s="28">
        <f>SUM('FY 2008 Rev 01-04-10'!F6:Q6)</f>
        <v>4000</v>
      </c>
      <c r="T18" s="28">
        <f>'FY 2008 Rev 01-04-10'!D6</f>
        <v>4000</v>
      </c>
      <c r="U18" s="12">
        <f t="shared" si="7"/>
        <v>1</v>
      </c>
    </row>
    <row r="19" spans="1:21" ht="15.75" customHeight="1">
      <c r="A19" s="215" t="s">
        <v>55</v>
      </c>
      <c r="B19" s="215"/>
      <c r="C19" s="16">
        <f>'FY 2010 Rev as of 01-04-10'!D12</f>
        <v>3547135</v>
      </c>
      <c r="D19" s="11">
        <f t="shared" si="0"/>
        <v>3244665.99</v>
      </c>
      <c r="E19" s="12">
        <f t="shared" si="1"/>
        <v>0.91472864438483459</v>
      </c>
      <c r="F19" s="29">
        <f t="shared" si="8"/>
        <v>-302469.00999999978</v>
      </c>
      <c r="G19" s="14"/>
      <c r="H19" s="27">
        <f t="shared" si="2"/>
        <v>302469.00999999978</v>
      </c>
      <c r="I19" s="10">
        <v>1</v>
      </c>
      <c r="J19" s="21" t="str">
        <f t="shared" si="3"/>
        <v>Intergovernmental Revenue</v>
      </c>
      <c r="K19" s="16">
        <f t="shared" si="4"/>
        <v>3547135</v>
      </c>
      <c r="L19" s="28">
        <f>'FY2010 Rev as of 10-13-10'!C12</f>
        <v>3244665.99</v>
      </c>
      <c r="M19" s="12">
        <f t="shared" si="5"/>
        <v>0.91472864438483459</v>
      </c>
      <c r="N19" s="28">
        <f>'FY 2009 Rev 01-04-10'!E11</f>
        <v>3678780</v>
      </c>
      <c r="O19" s="28">
        <f>SUM('FY 2009 Rev 01-04-10'!F11:Q11)</f>
        <v>3987047.8600000003</v>
      </c>
      <c r="P19" s="28">
        <f>'FY 2009 Rev 01-04-10'!D11</f>
        <v>3992954.02</v>
      </c>
      <c r="Q19" s="12">
        <f t="shared" si="6"/>
        <v>0.99852085449258454</v>
      </c>
      <c r="R19" s="28">
        <f>'FY 2008 Rev 01-04-10'!E11</f>
        <v>3079080</v>
      </c>
      <c r="S19" s="28">
        <f>SUM('FY 2008 Rev 01-04-10'!F11:Q11)</f>
        <v>3979230.29</v>
      </c>
      <c r="T19" s="28">
        <f>'FY 2008 Rev 01-04-10'!D11</f>
        <v>3979230.29</v>
      </c>
      <c r="U19" s="12">
        <f t="shared" si="7"/>
        <v>1</v>
      </c>
    </row>
    <row r="20" spans="1:21" ht="15.75" customHeight="1">
      <c r="A20" s="215" t="s">
        <v>2</v>
      </c>
      <c r="B20" s="215"/>
      <c r="C20" s="16">
        <f>'FY 2010 Rev as of 01-04-10'!D19</f>
        <v>16957104</v>
      </c>
      <c r="D20" s="11">
        <f t="shared" si="0"/>
        <v>14961200.730000002</v>
      </c>
      <c r="E20" s="12">
        <f t="shared" si="1"/>
        <v>0.88229692581940888</v>
      </c>
      <c r="F20" s="29">
        <f t="shared" si="8"/>
        <v>-1995903.2699999977</v>
      </c>
      <c r="G20" s="14"/>
      <c r="H20" s="27">
        <f t="shared" si="2"/>
        <v>1995903.2699999977</v>
      </c>
      <c r="I20" s="10">
        <v>1</v>
      </c>
      <c r="J20" s="21" t="str">
        <f t="shared" si="3"/>
        <v>Fees/Charges for Services</v>
      </c>
      <c r="K20" s="16">
        <f t="shared" si="4"/>
        <v>16957104</v>
      </c>
      <c r="L20" s="28">
        <f>'FY2010 Rev as of 10-13-10'!C19</f>
        <v>14961200.730000002</v>
      </c>
      <c r="M20" s="12">
        <f t="shared" si="5"/>
        <v>0.88229692581940888</v>
      </c>
      <c r="N20" s="28">
        <f>'FY 2009 Rev 01-04-10'!E18</f>
        <v>19143500</v>
      </c>
      <c r="O20" s="28">
        <f>SUM('FY 2009 Rev 01-04-10'!F18:Q18)</f>
        <v>15551032.399999999</v>
      </c>
      <c r="P20" s="28">
        <f>'FY 2009 Rev 01-04-10'!D18</f>
        <v>15850676.109999999</v>
      </c>
      <c r="Q20" s="12">
        <f t="shared" si="6"/>
        <v>0.9810958404600193</v>
      </c>
      <c r="R20" s="28">
        <f>'FY 2008 Rev 01-04-10'!E18</f>
        <v>16631625</v>
      </c>
      <c r="S20" s="28">
        <f>SUM('FY 2008 Rev 01-04-10'!F18:Q18)</f>
        <v>15930660.34</v>
      </c>
      <c r="T20" s="28">
        <f>'FY 2008 Rev 01-04-10'!D18</f>
        <v>15930660.34</v>
      </c>
      <c r="U20" s="12">
        <f t="shared" si="7"/>
        <v>1</v>
      </c>
    </row>
    <row r="21" spans="1:21" ht="15.75" customHeight="1">
      <c r="A21" s="215" t="s">
        <v>4</v>
      </c>
      <c r="B21" s="215"/>
      <c r="C21" s="16">
        <f>'FY 2010 Rev as of 01-04-10'!D21</f>
        <v>2301020</v>
      </c>
      <c r="D21" s="11">
        <f t="shared" si="0"/>
        <v>1794927.36</v>
      </c>
      <c r="E21" s="12">
        <f t="shared" si="1"/>
        <v>0.78005726156226374</v>
      </c>
      <c r="F21" s="29">
        <f t="shared" si="8"/>
        <v>-506092.6399999999</v>
      </c>
      <c r="G21" s="14"/>
      <c r="H21" s="27">
        <f t="shared" si="2"/>
        <v>506092.6399999999</v>
      </c>
      <c r="I21" s="10">
        <v>1</v>
      </c>
      <c r="J21" s="21" t="str">
        <f t="shared" si="3"/>
        <v>Fines</v>
      </c>
      <c r="K21" s="16">
        <f t="shared" si="4"/>
        <v>2301020</v>
      </c>
      <c r="L21" s="28">
        <f>'FY2010 Rev as of 10-13-10'!C21</f>
        <v>1794927.36</v>
      </c>
      <c r="M21" s="12">
        <f t="shared" si="5"/>
        <v>0.78005726156226374</v>
      </c>
      <c r="N21" s="28">
        <f>'FY 2009 Rev 01-04-10'!E20</f>
        <v>2771000</v>
      </c>
      <c r="O21" s="28">
        <f>SUM('FY 2009 Rev 01-04-10'!F20:Q20)</f>
        <v>2231421.4900000002</v>
      </c>
      <c r="P21" s="28">
        <f>'FY 2009 Rev 01-04-10'!D20</f>
        <v>2270389.13</v>
      </c>
      <c r="Q21" s="12">
        <f t="shared" si="6"/>
        <v>0.9828365809697126</v>
      </c>
      <c r="R21" s="28">
        <f>'FY 2008 Rev 01-04-10'!E20</f>
        <v>2967500</v>
      </c>
      <c r="S21" s="28">
        <f>SUM('FY 2008 Rev 01-04-10'!F20:Q20)</f>
        <v>2688475.7</v>
      </c>
      <c r="T21" s="28">
        <f>'FY 2008 Rev 01-04-10'!D20</f>
        <v>2688475.7</v>
      </c>
      <c r="U21" s="12">
        <f t="shared" si="7"/>
        <v>1</v>
      </c>
    </row>
    <row r="22" spans="1:21" ht="15.75" customHeight="1">
      <c r="A22" s="215" t="s">
        <v>3</v>
      </c>
      <c r="B22" s="215"/>
      <c r="C22" s="16">
        <f>'FY 2010 Rev as of 01-04-10'!D24</f>
        <v>3133290</v>
      </c>
      <c r="D22" s="11">
        <f t="shared" si="0"/>
        <v>2178097.27</v>
      </c>
      <c r="E22" s="12">
        <f t="shared" si="1"/>
        <v>0.69514704033140884</v>
      </c>
      <c r="F22" s="29">
        <f t="shared" si="8"/>
        <v>-955192.73</v>
      </c>
      <c r="G22" s="14"/>
      <c r="H22" s="27">
        <f t="shared" si="2"/>
        <v>955192.73</v>
      </c>
      <c r="I22" s="10">
        <v>1</v>
      </c>
      <c r="J22" s="21" t="str">
        <f t="shared" si="3"/>
        <v>Investment Revenue</v>
      </c>
      <c r="K22" s="16">
        <f t="shared" si="4"/>
        <v>3133290</v>
      </c>
      <c r="L22" s="28">
        <f>'FY2010 Rev as of 10-13-10'!C24</f>
        <v>2178097.27</v>
      </c>
      <c r="M22" s="12">
        <f t="shared" si="5"/>
        <v>0.69514704033140884</v>
      </c>
      <c r="N22" s="28">
        <f>'FY 2009 Rev 01-04-10'!E23</f>
        <v>5168400</v>
      </c>
      <c r="O22" s="28">
        <f>SUM('FY 2009 Rev 01-04-10'!F23:Q23)</f>
        <v>3037572.64</v>
      </c>
      <c r="P22" s="28">
        <f>'FY 2009 Rev 01-04-10'!D23</f>
        <v>3039255.96</v>
      </c>
      <c r="Q22" s="12">
        <f t="shared" si="6"/>
        <v>0.99944614075874028</v>
      </c>
      <c r="R22" s="28">
        <f>'FY 2008 Rev 01-04-10'!E23</f>
        <v>6994800</v>
      </c>
      <c r="S22" s="28">
        <f>SUM('FY 2008 Rev 01-04-10'!F23:Q23)</f>
        <v>6575786.3600000003</v>
      </c>
      <c r="T22" s="28">
        <f>'FY 2008 Rev 01-04-10'!D23</f>
        <v>6575786.3600000003</v>
      </c>
      <c r="U22" s="12">
        <f t="shared" si="7"/>
        <v>1</v>
      </c>
    </row>
    <row r="23" spans="1:21" ht="15.75" customHeight="1" thickBot="1">
      <c r="A23" s="215" t="s">
        <v>27</v>
      </c>
      <c r="B23" s="215"/>
      <c r="C23" s="16">
        <f>'FY 2010 Rev as of 01-04-10'!D26+'FY 2010 Rev as of 01-04-10'!D30+'FY 2010 Rev as of 01-04-10'!D33</f>
        <v>564135</v>
      </c>
      <c r="D23" s="11">
        <f t="shared" si="0"/>
        <v>621292.79</v>
      </c>
      <c r="E23" s="12">
        <f t="shared" si="1"/>
        <v>1.1013193473193474</v>
      </c>
      <c r="F23" s="29">
        <f t="shared" si="8"/>
        <v>57157.790000000037</v>
      </c>
      <c r="G23" s="14"/>
      <c r="H23" s="27">
        <v>0</v>
      </c>
      <c r="I23" s="10">
        <v>1</v>
      </c>
      <c r="J23" s="21" t="str">
        <f t="shared" si="3"/>
        <v>Miscellaneous</v>
      </c>
      <c r="K23" s="117">
        <f t="shared" si="4"/>
        <v>564135</v>
      </c>
      <c r="L23" s="118">
        <f>'FY2010 Rev as of 10-13-10'!C26+'FY2010 Rev as of 10-13-10'!C30+'FY2010 Rev as of 10-13-10'!C33</f>
        <v>621292.79</v>
      </c>
      <c r="M23" s="152">
        <f t="shared" si="5"/>
        <v>1.1013193473193474</v>
      </c>
      <c r="N23" s="118">
        <f>'FY 2009 Rev 01-04-10'!E25+'FY 2009 Rev 01-04-10'!E29+'FY 2009 Rev 01-04-10'!E32</f>
        <v>499810</v>
      </c>
      <c r="O23" s="118">
        <f>SUM('FY 2009 Rev 01-04-10'!F25:Q25,'FY 2009 Rev 01-04-10'!F29:Q29,'FY 2009 Rev 01-04-10'!F32:Q32)</f>
        <v>831308.46</v>
      </c>
      <c r="P23" s="118">
        <f>'FY 2009 Rev 01-04-10'!D25+'FY 2009 Rev 01-04-10'!D29+'FY 2009 Rev 01-04-10'!D32</f>
        <v>837358.54999999993</v>
      </c>
      <c r="Q23" s="152">
        <f t="shared" si="6"/>
        <v>0.99277479163495741</v>
      </c>
      <c r="R23" s="118">
        <f>'FY 2008 Rev 01-04-10'!E25+'FY 2008 Rev 01-04-10'!E29+'FY 2008 Rev 01-04-10'!E32</f>
        <v>500000</v>
      </c>
      <c r="S23" s="118">
        <f>SUM('FY 2008 Rev 01-04-10'!F25:Q25,'FY 2008 Rev 01-04-10'!F29:Q29,'FY 2008 Rev 01-04-10'!F32:Q32)</f>
        <v>2058982.75</v>
      </c>
      <c r="T23" s="118">
        <f>'FY 2008 Rev 01-04-10'!D25+'FY 2008 Rev 01-04-10'!D29+'FY 2008 Rev 01-04-10'!D32</f>
        <v>2058982.75</v>
      </c>
      <c r="U23" s="152">
        <f t="shared" si="7"/>
        <v>1</v>
      </c>
    </row>
    <row r="24" spans="1:21" ht="15.75" customHeight="1" thickBot="1">
      <c r="A24" s="216" t="s">
        <v>28</v>
      </c>
      <c r="B24" s="216"/>
      <c r="C24" s="11">
        <f>SUM(C17:C23)</f>
        <v>156957414</v>
      </c>
      <c r="D24" s="11">
        <f>SUM(D17:D23)</f>
        <v>152800728.23000002</v>
      </c>
      <c r="E24" s="12">
        <f t="shared" si="1"/>
        <v>0.97351711101713245</v>
      </c>
      <c r="F24" s="17">
        <f>SUM(F17:F23)</f>
        <v>-4156685.769999993</v>
      </c>
      <c r="G24" s="14"/>
      <c r="H24" s="27"/>
      <c r="J24" s="21"/>
      <c r="K24" s="116">
        <f>SUM(K17:K23)</f>
        <v>156957414</v>
      </c>
      <c r="L24" s="116">
        <f>SUM(L17:L23)</f>
        <v>152800728.23000002</v>
      </c>
      <c r="M24" s="153">
        <f t="shared" si="5"/>
        <v>0.97351711101713245</v>
      </c>
      <c r="N24" s="116">
        <f>SUM(N17:N23)</f>
        <v>150487306</v>
      </c>
      <c r="O24" s="116">
        <f>SUM(O17:O23)</f>
        <v>145407515.52000001</v>
      </c>
      <c r="P24" s="116">
        <f>SUM(P17:P23)</f>
        <v>145962457.22</v>
      </c>
      <c r="Q24" s="153">
        <f t="shared" si="6"/>
        <v>0.99619805181024346</v>
      </c>
      <c r="R24" s="116">
        <f>SUM(R17:R23)</f>
        <v>136743194</v>
      </c>
      <c r="S24" s="116">
        <f>SUM(S17:S23)</f>
        <v>148636236.79000002</v>
      </c>
      <c r="T24" s="116">
        <f>SUM(T17:T23)</f>
        <v>148636236.78999999</v>
      </c>
      <c r="U24" s="153">
        <f t="shared" si="7"/>
        <v>1.0000000000000002</v>
      </c>
    </row>
    <row r="25" spans="1:21" ht="22.5" customHeight="1" thickTop="1">
      <c r="J25" s="21"/>
      <c r="K25" s="26"/>
    </row>
    <row r="26" spans="1:21">
      <c r="J26" s="21"/>
      <c r="K26" s="26"/>
    </row>
    <row r="40" spans="1:26">
      <c r="J40" s="135"/>
      <c r="K40" s="135"/>
    </row>
    <row r="41" spans="1:26">
      <c r="J41" s="135"/>
      <c r="K41" s="135"/>
    </row>
    <row r="42" spans="1:26">
      <c r="J42" s="135"/>
      <c r="K42" s="135"/>
    </row>
    <row r="43" spans="1:26">
      <c r="J43" s="135"/>
      <c r="K43" s="135"/>
    </row>
    <row r="44" spans="1:26">
      <c r="J44" s="135"/>
      <c r="K44" s="135"/>
    </row>
    <row r="45" spans="1:26">
      <c r="J45" s="135"/>
      <c r="K45" s="135"/>
    </row>
    <row r="46" spans="1:26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26" ht="12" customHeight="1">
      <c r="B47" s="18"/>
      <c r="C47" s="18"/>
      <c r="D47" s="18"/>
      <c r="E47" s="18"/>
      <c r="J47" s="135"/>
      <c r="K47" s="135"/>
    </row>
    <row r="48" spans="1:26" ht="36" customHeight="1">
      <c r="A48" s="217"/>
      <c r="B48" s="217"/>
      <c r="C48" s="19" t="s">
        <v>99</v>
      </c>
      <c r="D48" s="19" t="s">
        <v>47</v>
      </c>
      <c r="E48" s="19" t="s">
        <v>25</v>
      </c>
      <c r="F48" s="9" t="s">
        <v>59</v>
      </c>
      <c r="G48" s="10">
        <v>1</v>
      </c>
      <c r="H48" s="2" t="s">
        <v>45</v>
      </c>
      <c r="I48" s="10">
        <v>1</v>
      </c>
      <c r="K48" s="154" t="s">
        <v>99</v>
      </c>
      <c r="L48" s="150" t="s">
        <v>115</v>
      </c>
      <c r="M48" s="151">
        <v>2010</v>
      </c>
      <c r="N48" s="150" t="s">
        <v>116</v>
      </c>
      <c r="O48" s="150" t="s">
        <v>1</v>
      </c>
      <c r="P48" s="150" t="s">
        <v>135</v>
      </c>
      <c r="Q48" s="151">
        <v>2009</v>
      </c>
      <c r="R48" s="150" t="s">
        <v>118</v>
      </c>
      <c r="S48" s="150">
        <v>2009</v>
      </c>
      <c r="T48" s="150" t="s">
        <v>119</v>
      </c>
      <c r="U48" s="150" t="s">
        <v>111</v>
      </c>
      <c r="V48" s="150" t="s">
        <v>136</v>
      </c>
      <c r="W48" s="151">
        <v>2008</v>
      </c>
      <c r="X48" s="150" t="s">
        <v>121</v>
      </c>
      <c r="Y48" s="150">
        <v>2008</v>
      </c>
      <c r="Z48" s="150" t="s">
        <v>122</v>
      </c>
    </row>
    <row r="49" spans="1:26" ht="15.75" customHeight="1">
      <c r="A49" s="218" t="s">
        <v>30</v>
      </c>
      <c r="B49" s="219"/>
      <c r="C49" s="11">
        <f>'FY 2010 Exp as of 01-06-10'!C2</f>
        <v>302496</v>
      </c>
      <c r="D49" s="11">
        <f>'FY2010 Exp as of 10-13-10 '!E2</f>
        <v>268555.12</v>
      </c>
      <c r="E49" s="12">
        <f t="shared" ref="E49:E60" si="9">(D49/C49)</f>
        <v>0.88779726012905957</v>
      </c>
      <c r="F49" s="11">
        <f>C49-D49</f>
        <v>33940.880000000005</v>
      </c>
      <c r="G49" s="23"/>
      <c r="H49" s="24">
        <f t="shared" ref="H49:H58" si="10">C49-D49</f>
        <v>33940.880000000005</v>
      </c>
      <c r="I49" s="10">
        <v>1</v>
      </c>
      <c r="J49" s="135" t="s">
        <v>30</v>
      </c>
      <c r="K49" s="13">
        <f t="shared" ref="K49:K59" si="11">C49</f>
        <v>302496</v>
      </c>
      <c r="L49" s="13">
        <f t="shared" ref="L49:L59" si="12">D49</f>
        <v>268555.12</v>
      </c>
      <c r="M49" s="155">
        <f t="shared" ref="M49:M60" si="13">(L49/K49)</f>
        <v>0.88779726012905957</v>
      </c>
      <c r="N49" s="13">
        <f t="shared" ref="N49:N59" si="14">K49-L49</f>
        <v>33940.880000000005</v>
      </c>
      <c r="O49" s="13">
        <f>'FY 2009 Exp 01-06-10'!C2</f>
        <v>307595</v>
      </c>
      <c r="P49" s="13">
        <f>SUM('FY 2009 Exp 01-06-10'!F2:Q2)</f>
        <v>277827.39</v>
      </c>
      <c r="Q49" s="155">
        <f t="shared" ref="Q49:Q60" si="15">P49/O49</f>
        <v>0.9032246622994522</v>
      </c>
      <c r="R49" s="13">
        <f>'FY 2009 Exp 01-06-10'!D2</f>
        <v>307595</v>
      </c>
      <c r="S49" s="155">
        <f t="shared" ref="S49:S60" si="16">P49/R49</f>
        <v>0.9032246622994522</v>
      </c>
      <c r="T49" s="13">
        <f t="shared" ref="T49:T59" si="17">O49-P49</f>
        <v>29767.609999999986</v>
      </c>
      <c r="U49" s="13">
        <f>'FY 2008 Exp 01-06-10'!C2</f>
        <v>326242</v>
      </c>
      <c r="V49" s="13">
        <f>SUM('FY 2008 Exp 01-06-10'!F2:Q2)</f>
        <v>298044.79999999999</v>
      </c>
      <c r="W49" s="155">
        <f t="shared" ref="W49:W60" si="18">V49/U49</f>
        <v>0.91356968140214934</v>
      </c>
      <c r="X49" s="13">
        <f>'FY 2008 Exp 01-06-10'!D2</f>
        <v>326266</v>
      </c>
      <c r="Y49" s="155">
        <f t="shared" ref="Y49:Y60" si="19">V49/X49</f>
        <v>0.91350247957188302</v>
      </c>
      <c r="Z49" s="13">
        <f t="shared" ref="Z49:Z59" si="20">U49-V49</f>
        <v>28197.200000000012</v>
      </c>
    </row>
    <row r="50" spans="1:26" ht="15.75" customHeight="1">
      <c r="A50" s="218" t="s">
        <v>123</v>
      </c>
      <c r="B50" s="219"/>
      <c r="C50" s="11">
        <f>'FY 2010 Exp as of 01-06-10'!C3</f>
        <v>411370</v>
      </c>
      <c r="D50" s="11">
        <f>'FY2010 Exp as of 10-13-10 '!E3</f>
        <v>423925.69</v>
      </c>
      <c r="E50" s="12">
        <f t="shared" si="9"/>
        <v>1.0305216471789387</v>
      </c>
      <c r="F50" s="11">
        <f t="shared" ref="F50:F60" si="21">C50-D50</f>
        <v>-12555.690000000002</v>
      </c>
      <c r="G50" s="23"/>
      <c r="H50" s="25">
        <v>0</v>
      </c>
      <c r="I50" s="10">
        <v>1</v>
      </c>
      <c r="J50" s="135" t="s">
        <v>123</v>
      </c>
      <c r="K50" s="156">
        <f t="shared" si="11"/>
        <v>411370</v>
      </c>
      <c r="L50" s="156">
        <f t="shared" si="12"/>
        <v>423925.69</v>
      </c>
      <c r="M50" s="155">
        <f t="shared" si="13"/>
        <v>1.0305216471789387</v>
      </c>
      <c r="N50" s="156">
        <f t="shared" si="14"/>
        <v>-12555.690000000002</v>
      </c>
      <c r="O50" s="156">
        <f>'FY 2009 Exp 01-06-10'!C3</f>
        <v>510370</v>
      </c>
      <c r="P50" s="156">
        <f>SUM('FY 2009 Exp 01-06-10'!F3:Q3)</f>
        <v>496194.61</v>
      </c>
      <c r="Q50" s="155">
        <f t="shared" si="15"/>
        <v>0.9722252679428649</v>
      </c>
      <c r="R50" s="156">
        <f>'FY 2009 Exp 01-06-10'!D3</f>
        <v>575162</v>
      </c>
      <c r="S50" s="155">
        <f t="shared" si="16"/>
        <v>0.86270409032585604</v>
      </c>
      <c r="T50" s="13">
        <f t="shared" si="17"/>
        <v>14175.390000000014</v>
      </c>
      <c r="U50" s="156">
        <f>'FY 2008 Exp 01-06-10'!C3</f>
        <v>461110</v>
      </c>
      <c r="V50" s="156">
        <f>SUM('FY 2008 Exp 01-06-10'!F3:Q3)</f>
        <v>427877.16000000003</v>
      </c>
      <c r="W50" s="155">
        <f t="shared" si="18"/>
        <v>0.92792860705688451</v>
      </c>
      <c r="X50" s="156">
        <f>'FY 2008 Exp 01-06-10'!D3</f>
        <v>497765</v>
      </c>
      <c r="Y50" s="155">
        <f t="shared" si="19"/>
        <v>0.85959671732644927</v>
      </c>
      <c r="Z50" s="13">
        <f t="shared" si="20"/>
        <v>33232.839999999967</v>
      </c>
    </row>
    <row r="51" spans="1:26" ht="15.75" customHeight="1">
      <c r="A51" s="218" t="s">
        <v>31</v>
      </c>
      <c r="B51" s="219"/>
      <c r="C51" s="11">
        <f>'FY 2010 Exp as of 01-06-10'!C5</f>
        <v>3263326</v>
      </c>
      <c r="D51" s="11">
        <f>'FY2010 Exp as of 10-13-10 '!E5</f>
        <v>2686839.94</v>
      </c>
      <c r="E51" s="12">
        <f t="shared" si="9"/>
        <v>0.82334401772915111</v>
      </c>
      <c r="F51" s="11">
        <f t="shared" si="21"/>
        <v>576486.06000000006</v>
      </c>
      <c r="G51" s="23"/>
      <c r="H51" s="25">
        <f t="shared" si="10"/>
        <v>576486.06000000006</v>
      </c>
      <c r="I51" s="10">
        <v>1</v>
      </c>
      <c r="J51" s="135" t="s">
        <v>31</v>
      </c>
      <c r="K51" s="156">
        <f t="shared" si="11"/>
        <v>3263326</v>
      </c>
      <c r="L51" s="156">
        <f t="shared" si="12"/>
        <v>2686839.94</v>
      </c>
      <c r="M51" s="155">
        <f t="shared" si="13"/>
        <v>0.82334401772915111</v>
      </c>
      <c r="N51" s="156">
        <f t="shared" si="14"/>
        <v>576486.06000000006</v>
      </c>
      <c r="O51" s="156">
        <f>'FY 2009 Exp 01-06-10'!C5</f>
        <v>3360551</v>
      </c>
      <c r="P51" s="156">
        <f>SUM('FY 2009 Exp 01-06-10'!F5:Q5)</f>
        <v>2685580.69</v>
      </c>
      <c r="Q51" s="155">
        <f t="shared" si="15"/>
        <v>0.79914891635330043</v>
      </c>
      <c r="R51" s="156">
        <f>'FY 2009 Exp 01-06-10'!D5</f>
        <v>3258569</v>
      </c>
      <c r="S51" s="155">
        <f t="shared" si="16"/>
        <v>0.82415952830828498</v>
      </c>
      <c r="T51" s="13">
        <f t="shared" si="17"/>
        <v>674970.31</v>
      </c>
      <c r="U51" s="156">
        <f>'FY 2008 Exp 01-06-10'!C5</f>
        <v>2433415</v>
      </c>
      <c r="V51" s="156">
        <f>SUM('FY 2008 Exp 01-06-10'!F5:Q5)</f>
        <v>2877875.92</v>
      </c>
      <c r="W51" s="155">
        <f t="shared" si="18"/>
        <v>1.1826490426006251</v>
      </c>
      <c r="X51" s="156">
        <f>'FY 2008 Exp 01-06-10'!D5</f>
        <v>3116351</v>
      </c>
      <c r="Y51" s="155">
        <f t="shared" si="19"/>
        <v>0.92347618095650974</v>
      </c>
      <c r="Z51" s="13">
        <f t="shared" si="20"/>
        <v>-444460.91999999993</v>
      </c>
    </row>
    <row r="52" spans="1:26" ht="15.75" customHeight="1">
      <c r="A52" s="218" t="s">
        <v>15</v>
      </c>
      <c r="B52" s="219"/>
      <c r="C52" s="11">
        <f>'FY 2010 Exp as of 01-06-10'!C6</f>
        <v>10604579</v>
      </c>
      <c r="D52" s="11">
        <f>'FY2010 Exp as of 10-13-10 '!E6</f>
        <v>9887771.1099999994</v>
      </c>
      <c r="E52" s="12">
        <f t="shared" si="9"/>
        <v>0.93240581356412167</v>
      </c>
      <c r="F52" s="11">
        <f t="shared" si="21"/>
        <v>716807.8900000006</v>
      </c>
      <c r="G52" s="23"/>
      <c r="H52" s="25">
        <f t="shared" si="10"/>
        <v>716807.8900000006</v>
      </c>
      <c r="I52" s="10">
        <v>1</v>
      </c>
      <c r="J52" s="135" t="s">
        <v>15</v>
      </c>
      <c r="K52" s="156">
        <f t="shared" si="11"/>
        <v>10604579</v>
      </c>
      <c r="L52" s="156">
        <f t="shared" si="12"/>
        <v>9887771.1099999994</v>
      </c>
      <c r="M52" s="155">
        <f t="shared" si="13"/>
        <v>0.93240581356412167</v>
      </c>
      <c r="N52" s="156">
        <f t="shared" si="14"/>
        <v>716807.8900000006</v>
      </c>
      <c r="O52" s="156">
        <f>'FY 2009 Exp 01-06-10'!C6</f>
        <v>10906229</v>
      </c>
      <c r="P52" s="156">
        <f>SUM('FY 2009 Exp 01-06-10'!F6:Q6)</f>
        <v>10149261.580000002</v>
      </c>
      <c r="Q52" s="155">
        <f t="shared" si="15"/>
        <v>0.93059311151453006</v>
      </c>
      <c r="R52" s="156">
        <f>'FY 2009 Exp 01-06-10'!D6</f>
        <v>11732575</v>
      </c>
      <c r="S52" s="155">
        <f t="shared" si="16"/>
        <v>0.86504979341704624</v>
      </c>
      <c r="T52" s="13">
        <f t="shared" si="17"/>
        <v>756967.41999999806</v>
      </c>
      <c r="U52" s="156">
        <f>'FY 2008 Exp 01-06-10'!C6</f>
        <v>9925189</v>
      </c>
      <c r="V52" s="156">
        <f>SUM('FY 2008 Exp 01-06-10'!F6:Q6)</f>
        <v>9715645.6400000006</v>
      </c>
      <c r="W52" s="155">
        <f t="shared" si="18"/>
        <v>0.9788877209290423</v>
      </c>
      <c r="X52" s="156">
        <f>'FY 2008 Exp 01-06-10'!D6</f>
        <v>10190881</v>
      </c>
      <c r="Y52" s="155">
        <f t="shared" si="19"/>
        <v>0.95336660687137853</v>
      </c>
      <c r="Z52" s="13">
        <f t="shared" si="20"/>
        <v>209543.3599999994</v>
      </c>
    </row>
    <row r="53" spans="1:26" ht="15.75" customHeight="1">
      <c r="A53" s="218" t="s">
        <v>14</v>
      </c>
      <c r="B53" s="219"/>
      <c r="C53" s="11">
        <f>'FY 2010 Exp as of 01-06-10'!C7</f>
        <v>36033186</v>
      </c>
      <c r="D53" s="11">
        <f>'FY2010 Exp as of 10-13-10 '!E7</f>
        <v>28645456.449999999</v>
      </c>
      <c r="E53" s="12">
        <f t="shared" si="9"/>
        <v>0.79497428981161977</v>
      </c>
      <c r="F53" s="11">
        <f t="shared" si="21"/>
        <v>7387729.5500000007</v>
      </c>
      <c r="G53" s="23"/>
      <c r="H53" s="25">
        <f t="shared" si="10"/>
        <v>7387729.5500000007</v>
      </c>
      <c r="I53" s="10">
        <v>1</v>
      </c>
      <c r="J53" s="135" t="s">
        <v>14</v>
      </c>
      <c r="K53" s="156">
        <f t="shared" si="11"/>
        <v>36033186</v>
      </c>
      <c r="L53" s="156">
        <f t="shared" si="12"/>
        <v>28645456.449999999</v>
      </c>
      <c r="M53" s="155">
        <f t="shared" si="13"/>
        <v>0.79497428981161977</v>
      </c>
      <c r="N53" s="156">
        <f t="shared" si="14"/>
        <v>7387729.5500000007</v>
      </c>
      <c r="O53" s="156">
        <f>'FY 2009 Exp 01-06-10'!C7</f>
        <v>34955768</v>
      </c>
      <c r="P53" s="156">
        <f>SUM('FY 2009 Exp 01-06-10'!F7:Q7)</f>
        <v>23074337.329999998</v>
      </c>
      <c r="Q53" s="155">
        <f t="shared" si="15"/>
        <v>0.66010099763792907</v>
      </c>
      <c r="R53" s="156">
        <f>'FY 2009 Exp 01-06-10'!D7</f>
        <v>31765451</v>
      </c>
      <c r="S53" s="155">
        <f t="shared" si="16"/>
        <v>0.72639728395482239</v>
      </c>
      <c r="T53" s="13">
        <f t="shared" si="17"/>
        <v>11881430.670000002</v>
      </c>
      <c r="U53" s="156">
        <f>'FY 2008 Exp 01-06-10'!C7</f>
        <v>33931130</v>
      </c>
      <c r="V53" s="156">
        <f>SUM('FY 2008 Exp 01-06-10'!F7:Q7)</f>
        <v>21719459.130000003</v>
      </c>
      <c r="W53" s="155">
        <f t="shared" si="18"/>
        <v>0.64010420902575316</v>
      </c>
      <c r="X53" s="156">
        <f>'FY 2008 Exp 01-06-10'!D7</f>
        <v>30400731</v>
      </c>
      <c r="Y53" s="155">
        <f t="shared" si="19"/>
        <v>0.71443871300331574</v>
      </c>
      <c r="Z53" s="13">
        <f t="shared" si="20"/>
        <v>12211670.869999997</v>
      </c>
    </row>
    <row r="54" spans="1:26" ht="15.75" customHeight="1">
      <c r="A54" s="218" t="s">
        <v>124</v>
      </c>
      <c r="B54" s="219"/>
      <c r="C54" s="11">
        <f>'FY 2010 Exp as of 01-06-10'!C8</f>
        <v>11603014</v>
      </c>
      <c r="D54" s="11">
        <f>'FY2010 Exp as of 10-13-10 '!E8</f>
        <v>10842673.359999999</v>
      </c>
      <c r="E54" s="12">
        <f t="shared" si="9"/>
        <v>0.93447041949617571</v>
      </c>
      <c r="F54" s="11">
        <f t="shared" si="21"/>
        <v>760340.6400000006</v>
      </c>
      <c r="G54" s="23"/>
      <c r="H54" s="25">
        <f t="shared" si="10"/>
        <v>760340.6400000006</v>
      </c>
      <c r="I54" s="10">
        <v>1</v>
      </c>
      <c r="J54" s="135" t="s">
        <v>140</v>
      </c>
      <c r="K54" s="156">
        <f t="shared" si="11"/>
        <v>11603014</v>
      </c>
      <c r="L54" s="156">
        <f t="shared" si="12"/>
        <v>10842673.359999999</v>
      </c>
      <c r="M54" s="155">
        <f t="shared" si="13"/>
        <v>0.93447041949617571</v>
      </c>
      <c r="N54" s="156">
        <f t="shared" si="14"/>
        <v>760340.6400000006</v>
      </c>
      <c r="O54" s="156">
        <f>'FY 2009 Exp 01-06-10'!C8</f>
        <v>11138553</v>
      </c>
      <c r="P54" s="156">
        <f>SUM('FY 2009 Exp 01-06-10'!F8:Q8)</f>
        <v>10943624.65</v>
      </c>
      <c r="Q54" s="155">
        <f t="shared" si="15"/>
        <v>0.98249967028930962</v>
      </c>
      <c r="R54" s="156">
        <f>'FY 2009 Exp 01-06-10'!D8</f>
        <v>12178567</v>
      </c>
      <c r="S54" s="155">
        <f t="shared" si="16"/>
        <v>0.89859707221711715</v>
      </c>
      <c r="T54" s="13">
        <f t="shared" si="17"/>
        <v>194928.34999999963</v>
      </c>
      <c r="U54" s="156">
        <f>'FY 2008 Exp 01-06-10'!C8</f>
        <v>10691922</v>
      </c>
      <c r="V54" s="156">
        <f>SUM('FY 2008 Exp 01-06-10'!F8:Q8)</f>
        <v>11228455.450000001</v>
      </c>
      <c r="W54" s="155">
        <f t="shared" si="18"/>
        <v>1.0501811975433417</v>
      </c>
      <c r="X54" s="156">
        <f>'FY 2008 Exp 01-06-10'!D8</f>
        <v>11576518</v>
      </c>
      <c r="Y54" s="155">
        <f t="shared" si="19"/>
        <v>0.96993374432623014</v>
      </c>
      <c r="Z54" s="13">
        <f t="shared" si="20"/>
        <v>-536533.45000000112</v>
      </c>
    </row>
    <row r="55" spans="1:26" ht="15.75" customHeight="1">
      <c r="A55" s="218" t="s">
        <v>32</v>
      </c>
      <c r="B55" s="219"/>
      <c r="C55" s="11">
        <f>'FY 2010 Exp as of 01-06-10'!C9</f>
        <v>14742575</v>
      </c>
      <c r="D55" s="11">
        <f>'FY2010 Exp as of 10-13-10 '!E9</f>
        <v>13640147.98</v>
      </c>
      <c r="E55" s="12">
        <f t="shared" si="9"/>
        <v>0.92522154236963361</v>
      </c>
      <c r="F55" s="11">
        <f t="shared" si="21"/>
        <v>1102427.0199999996</v>
      </c>
      <c r="G55" s="23"/>
      <c r="H55" s="25">
        <f t="shared" si="10"/>
        <v>1102427.0199999996</v>
      </c>
      <c r="I55" s="10">
        <v>1</v>
      </c>
      <c r="J55" s="135" t="s">
        <v>32</v>
      </c>
      <c r="K55" s="156">
        <f t="shared" si="11"/>
        <v>14742575</v>
      </c>
      <c r="L55" s="156">
        <f t="shared" si="12"/>
        <v>13640147.98</v>
      </c>
      <c r="M55" s="155">
        <f t="shared" si="13"/>
        <v>0.92522154236963361</v>
      </c>
      <c r="N55" s="156">
        <f t="shared" si="14"/>
        <v>1102427.0199999996</v>
      </c>
      <c r="O55" s="156">
        <f>'FY 2009 Exp 01-06-10'!C9</f>
        <v>14546174</v>
      </c>
      <c r="P55" s="156">
        <f>SUM('FY 2009 Exp 01-06-10'!F9:Q9)</f>
        <v>13457052.160000002</v>
      </c>
      <c r="Q55" s="155">
        <f t="shared" si="15"/>
        <v>0.92512657692668887</v>
      </c>
      <c r="R55" s="156">
        <f>'FY 2009 Exp 01-06-10'!D9</f>
        <v>14631394</v>
      </c>
      <c r="S55" s="155">
        <f t="shared" si="16"/>
        <v>0.91973821223049579</v>
      </c>
      <c r="T55" s="13">
        <f t="shared" si="17"/>
        <v>1089121.839999998</v>
      </c>
      <c r="U55" s="156">
        <f>'FY 2008 Exp 01-06-10'!C9</f>
        <v>13877308</v>
      </c>
      <c r="V55" s="156">
        <f>SUM('FY 2008 Exp 01-06-10'!F9:Q9)</f>
        <v>13713384.859999999</v>
      </c>
      <c r="W55" s="155">
        <f t="shared" si="18"/>
        <v>0.98818768452786376</v>
      </c>
      <c r="X55" s="156">
        <f>'FY 2008 Exp 01-06-10'!D9</f>
        <v>14249804</v>
      </c>
      <c r="Y55" s="155">
        <f t="shared" si="19"/>
        <v>0.96235603380930712</v>
      </c>
      <c r="Z55" s="13">
        <f t="shared" si="20"/>
        <v>163923.1400000006</v>
      </c>
    </row>
    <row r="56" spans="1:26" ht="15.75" customHeight="1">
      <c r="A56" s="218" t="s">
        <v>33</v>
      </c>
      <c r="B56" s="219"/>
      <c r="C56" s="11">
        <f>'FY 2010 Exp as of 01-06-10'!C10</f>
        <v>10775827</v>
      </c>
      <c r="D56" s="11">
        <f>'FY2010 Exp as of 10-13-10 '!E10</f>
        <v>10309398.390000001</v>
      </c>
      <c r="E56" s="12">
        <f t="shared" si="9"/>
        <v>0.95671528412622076</v>
      </c>
      <c r="F56" s="11">
        <f t="shared" si="21"/>
        <v>466428.6099999994</v>
      </c>
      <c r="G56" s="23"/>
      <c r="H56" s="25">
        <f t="shared" si="10"/>
        <v>466428.6099999994</v>
      </c>
      <c r="I56" s="10">
        <v>1</v>
      </c>
      <c r="J56" s="135" t="s">
        <v>33</v>
      </c>
      <c r="K56" s="156">
        <f t="shared" si="11"/>
        <v>10775827</v>
      </c>
      <c r="L56" s="156">
        <f t="shared" si="12"/>
        <v>10309398.390000001</v>
      </c>
      <c r="M56" s="155">
        <f t="shared" si="13"/>
        <v>0.95671528412622076</v>
      </c>
      <c r="N56" s="156">
        <f t="shared" si="14"/>
        <v>466428.6099999994</v>
      </c>
      <c r="O56" s="156">
        <f>'FY 2009 Exp 01-06-10'!C10</f>
        <v>10460745</v>
      </c>
      <c r="P56" s="156">
        <f>SUM('FY 2009 Exp 01-06-10'!F10:Q10)</f>
        <v>10012646.199999999</v>
      </c>
      <c r="Q56" s="155">
        <f t="shared" si="15"/>
        <v>0.95716377753209736</v>
      </c>
      <c r="R56" s="156">
        <f>'FY 2009 Exp 01-06-10'!D10</f>
        <v>10518776</v>
      </c>
      <c r="S56" s="155">
        <f t="shared" si="16"/>
        <v>0.95188320390129033</v>
      </c>
      <c r="T56" s="13">
        <f t="shared" si="17"/>
        <v>448098.80000000075</v>
      </c>
      <c r="U56" s="156">
        <f>'FY 2008 Exp 01-06-10'!C10</f>
        <v>10121330</v>
      </c>
      <c r="V56" s="156">
        <f>SUM('FY 2008 Exp 01-06-10'!F10:Q10)</f>
        <v>9879428.4400000013</v>
      </c>
      <c r="W56" s="155">
        <f t="shared" si="18"/>
        <v>0.97609982482539359</v>
      </c>
      <c r="X56" s="156">
        <f>'FY 2008 Exp 01-06-10'!D10</f>
        <v>10185578</v>
      </c>
      <c r="Y56" s="155">
        <f t="shared" si="19"/>
        <v>0.96994283878637044</v>
      </c>
      <c r="Z56" s="13">
        <f t="shared" si="20"/>
        <v>241901.55999999866</v>
      </c>
    </row>
    <row r="57" spans="1:26" ht="15.75" customHeight="1">
      <c r="A57" s="218" t="s">
        <v>34</v>
      </c>
      <c r="B57" s="219"/>
      <c r="C57" s="11">
        <f>'FY 2010 Exp as of 01-06-10'!C11</f>
        <v>10781064</v>
      </c>
      <c r="D57" s="11">
        <f>'FY2010 Exp as of 10-13-10 '!E11</f>
        <v>9270329</v>
      </c>
      <c r="E57" s="12">
        <f t="shared" si="9"/>
        <v>0.85987143755013418</v>
      </c>
      <c r="F57" s="11">
        <f t="shared" si="21"/>
        <v>1510735</v>
      </c>
      <c r="G57" s="23"/>
      <c r="H57" s="25">
        <f t="shared" si="10"/>
        <v>1510735</v>
      </c>
      <c r="I57" s="10">
        <v>1</v>
      </c>
      <c r="J57" s="135" t="s">
        <v>34</v>
      </c>
      <c r="K57" s="156">
        <f t="shared" si="11"/>
        <v>10781064</v>
      </c>
      <c r="L57" s="156">
        <f t="shared" si="12"/>
        <v>9270329</v>
      </c>
      <c r="M57" s="155">
        <f t="shared" si="13"/>
        <v>0.85987143755013418</v>
      </c>
      <c r="N57" s="156">
        <f t="shared" si="14"/>
        <v>1510735</v>
      </c>
      <c r="O57" s="156">
        <f>'FY 2009 Exp 01-06-10'!C11</f>
        <v>10829424</v>
      </c>
      <c r="P57" s="156">
        <f>SUM('FY 2009 Exp 01-06-10'!F11:Q11)</f>
        <v>9628056.3699999992</v>
      </c>
      <c r="Q57" s="155">
        <f t="shared" si="15"/>
        <v>0.88906449410421085</v>
      </c>
      <c r="R57" s="156">
        <f>'FY 2009 Exp 01-06-10'!D11</f>
        <v>11207054</v>
      </c>
      <c r="S57" s="155">
        <f t="shared" si="16"/>
        <v>0.85910680630253045</v>
      </c>
      <c r="T57" s="13">
        <f t="shared" si="17"/>
        <v>1201367.6300000008</v>
      </c>
      <c r="U57" s="156">
        <f>'FY 2008 Exp 01-06-10'!C11</f>
        <v>10503495</v>
      </c>
      <c r="V57" s="156">
        <f>SUM('FY 2008 Exp 01-06-10'!F11:Q11)</f>
        <v>10422258.479999999</v>
      </c>
      <c r="W57" s="155">
        <f t="shared" si="18"/>
        <v>0.99226576296746927</v>
      </c>
      <c r="X57" s="156">
        <f>'FY 2008 Exp 01-06-10'!D11</f>
        <v>11177385</v>
      </c>
      <c r="Y57" s="155">
        <f t="shared" si="19"/>
        <v>0.93244157555635765</v>
      </c>
      <c r="Z57" s="13">
        <f t="shared" si="20"/>
        <v>81236.520000001416</v>
      </c>
    </row>
    <row r="58" spans="1:26" ht="15.75" customHeight="1">
      <c r="A58" s="218" t="s">
        <v>35</v>
      </c>
      <c r="B58" s="219"/>
      <c r="C58" s="11">
        <f>'FY 2010 Exp as of 01-06-10'!C12</f>
        <v>45971504</v>
      </c>
      <c r="D58" s="11">
        <f>'FY2010 Exp as of 10-13-10 '!E12</f>
        <v>44409312.299999997</v>
      </c>
      <c r="E58" s="12">
        <f t="shared" si="9"/>
        <v>0.96601825992031931</v>
      </c>
      <c r="F58" s="11">
        <f t="shared" si="21"/>
        <v>1562191.700000003</v>
      </c>
      <c r="G58" s="23"/>
      <c r="H58" s="25">
        <f t="shared" si="10"/>
        <v>1562191.700000003</v>
      </c>
      <c r="I58" s="10">
        <v>1</v>
      </c>
      <c r="J58" s="135" t="s">
        <v>35</v>
      </c>
      <c r="K58" s="156">
        <f t="shared" si="11"/>
        <v>45971504</v>
      </c>
      <c r="L58" s="156">
        <f t="shared" si="12"/>
        <v>44409312.299999997</v>
      </c>
      <c r="M58" s="155">
        <f t="shared" si="13"/>
        <v>0.96601825992031931</v>
      </c>
      <c r="N58" s="156">
        <f t="shared" si="14"/>
        <v>1562191.700000003</v>
      </c>
      <c r="O58" s="156">
        <f>'FY 2009 Exp 01-06-10'!C12</f>
        <v>44763416</v>
      </c>
      <c r="P58" s="156">
        <f>SUM('FY 2009 Exp 01-06-10'!F12:Q12)</f>
        <v>43699153.5</v>
      </c>
      <c r="Q58" s="155">
        <f t="shared" si="15"/>
        <v>0.97622472556607387</v>
      </c>
      <c r="R58" s="156">
        <f>'FY 2009 Exp 01-06-10'!D12</f>
        <v>45148643</v>
      </c>
      <c r="S58" s="155">
        <f t="shared" si="16"/>
        <v>0.96789517018263427</v>
      </c>
      <c r="T58" s="13">
        <f t="shared" si="17"/>
        <v>1064262.5</v>
      </c>
      <c r="U58" s="156">
        <f>'FY 2008 Exp 01-06-10'!C12</f>
        <v>44214975</v>
      </c>
      <c r="V58" s="156">
        <f>SUM('FY 2008 Exp 01-06-10'!F12:Q12)</f>
        <v>43971445.670000002</v>
      </c>
      <c r="W58" s="155">
        <f t="shared" si="18"/>
        <v>0.99449215271522828</v>
      </c>
      <c r="X58" s="156">
        <f>'FY 2008 Exp 01-06-10'!D12</f>
        <v>44791732</v>
      </c>
      <c r="Y58" s="155">
        <f t="shared" si="19"/>
        <v>0.98168665748401962</v>
      </c>
      <c r="Z58" s="13">
        <f t="shared" si="20"/>
        <v>243529.32999999821</v>
      </c>
    </row>
    <row r="59" spans="1:26" ht="15.75" customHeight="1" thickBot="1">
      <c r="A59" s="218" t="s">
        <v>36</v>
      </c>
      <c r="B59" s="219"/>
      <c r="C59" s="11">
        <f>'FY 2010 Exp as of 01-06-10'!C14</f>
        <v>8370000</v>
      </c>
      <c r="D59" s="11">
        <f>'FY2010 Exp as of 10-13-10 '!E14</f>
        <v>8420000</v>
      </c>
      <c r="E59" s="12">
        <f t="shared" si="9"/>
        <v>1.005973715651135</v>
      </c>
      <c r="F59" s="11">
        <f t="shared" si="21"/>
        <v>-50000</v>
      </c>
      <c r="G59" s="23"/>
      <c r="H59" s="25">
        <v>0</v>
      </c>
      <c r="I59" s="10">
        <v>1</v>
      </c>
      <c r="J59" s="135" t="s">
        <v>36</v>
      </c>
      <c r="K59" s="158">
        <f t="shared" si="11"/>
        <v>8370000</v>
      </c>
      <c r="L59" s="158">
        <f t="shared" si="12"/>
        <v>8420000</v>
      </c>
      <c r="M59" s="152">
        <f t="shared" si="13"/>
        <v>1.005973715651135</v>
      </c>
      <c r="N59" s="158">
        <f t="shared" si="14"/>
        <v>-50000</v>
      </c>
      <c r="O59" s="158">
        <f>'FY 2009 Exp 01-06-10'!C14</f>
        <v>8707782</v>
      </c>
      <c r="P59" s="158">
        <f>SUM('FY 2009 Exp 01-06-10'!F14:Q14)</f>
        <v>9421491</v>
      </c>
      <c r="Q59" s="152">
        <f t="shared" si="15"/>
        <v>1.0819622034635226</v>
      </c>
      <c r="R59" s="158">
        <f>'FY 2009 Exp 01-06-10'!D14</f>
        <v>13464262</v>
      </c>
      <c r="S59" s="152">
        <f t="shared" si="16"/>
        <v>0.69974061704978707</v>
      </c>
      <c r="T59" s="159">
        <f t="shared" si="17"/>
        <v>-713709</v>
      </c>
      <c r="U59" s="158">
        <f>'FY 2008 Exp 01-06-10'!C14</f>
        <v>9046853</v>
      </c>
      <c r="V59" s="158">
        <f>SUM('FY 2008 Exp 01-06-10'!F14:Q14)</f>
        <v>18086390</v>
      </c>
      <c r="W59" s="152">
        <f t="shared" si="18"/>
        <v>1.9991913210041106</v>
      </c>
      <c r="X59" s="158">
        <f>'FY 2008 Exp 01-06-10'!D14</f>
        <v>19089565</v>
      </c>
      <c r="Y59" s="152">
        <f t="shared" si="19"/>
        <v>0.94744903825728877</v>
      </c>
      <c r="Z59" s="159">
        <f t="shared" si="20"/>
        <v>-9039537</v>
      </c>
    </row>
    <row r="60" spans="1:26" ht="15.75" customHeight="1" thickBot="1">
      <c r="A60" s="220" t="s">
        <v>28</v>
      </c>
      <c r="B60" s="221"/>
      <c r="C60" s="20">
        <f>SUM(C49:C59)</f>
        <v>152858941</v>
      </c>
      <c r="D60" s="20">
        <f>SUM(D49:D59)</f>
        <v>138804409.34</v>
      </c>
      <c r="E60" s="12">
        <f t="shared" si="9"/>
        <v>0.90805554736899563</v>
      </c>
      <c r="F60" s="11">
        <f t="shared" si="21"/>
        <v>14054531.659999996</v>
      </c>
      <c r="G60" s="23"/>
      <c r="J60" s="107"/>
      <c r="K60" s="157">
        <f>SUM(K49:K59)</f>
        <v>152858941</v>
      </c>
      <c r="L60" s="157">
        <f>SUM(L49:L59)</f>
        <v>138804409.34</v>
      </c>
      <c r="M60" s="153">
        <f t="shared" si="13"/>
        <v>0.90805554736899563</v>
      </c>
      <c r="N60" s="157">
        <f>SUM(N49:N59)</f>
        <v>14054531.660000004</v>
      </c>
      <c r="O60" s="157">
        <f>SUM(O49:O59)</f>
        <v>150486607</v>
      </c>
      <c r="P60" s="157">
        <f>SUM(P49:P59)</f>
        <v>133845225.48</v>
      </c>
      <c r="Q60" s="153">
        <f t="shared" si="15"/>
        <v>0.88941619555552875</v>
      </c>
      <c r="R60" s="157">
        <f>SUM(R49:R59)</f>
        <v>154788048</v>
      </c>
      <c r="S60" s="153">
        <f t="shared" si="16"/>
        <v>0.86470000241879141</v>
      </c>
      <c r="T60" s="157">
        <f>SUM(T49:T59)</f>
        <v>16641381.52</v>
      </c>
      <c r="U60" s="157">
        <f>SUM(U49:U59)</f>
        <v>145532969</v>
      </c>
      <c r="V60" s="157">
        <f>SUM(V49:V59)</f>
        <v>142340265.55000001</v>
      </c>
      <c r="W60" s="153">
        <f t="shared" si="18"/>
        <v>0.97806199191882093</v>
      </c>
      <c r="X60" s="157">
        <f>SUM(X49:X59)</f>
        <v>155602576</v>
      </c>
      <c r="Y60" s="153">
        <f t="shared" si="19"/>
        <v>0.91476805339006739</v>
      </c>
      <c r="Z60" s="157">
        <f>SUM(Z49:Z59)</f>
        <v>3192703.4499999937</v>
      </c>
    </row>
    <row r="61" spans="1:26" ht="13.5" thickTop="1"/>
  </sheetData>
  <mergeCells count="26">
    <mergeCell ref="A60:B60"/>
    <mergeCell ref="A14:F14"/>
    <mergeCell ref="A46:F46"/>
    <mergeCell ref="A55:B55"/>
    <mergeCell ref="A56:B56"/>
    <mergeCell ref="A57:B57"/>
    <mergeCell ref="A59:B59"/>
    <mergeCell ref="A51:B51"/>
    <mergeCell ref="A52:B52"/>
    <mergeCell ref="A53:B53"/>
    <mergeCell ref="A58:B58"/>
    <mergeCell ref="A19:B19"/>
    <mergeCell ref="A20:B20"/>
    <mergeCell ref="A21:B21"/>
    <mergeCell ref="A22:B22"/>
    <mergeCell ref="A23:B23"/>
    <mergeCell ref="B3:D3"/>
    <mergeCell ref="A13:F13"/>
    <mergeCell ref="A16:B16"/>
    <mergeCell ref="A17:B17"/>
    <mergeCell ref="A18:B18"/>
    <mergeCell ref="A24:B24"/>
    <mergeCell ref="A54:B54"/>
    <mergeCell ref="A48:B48"/>
    <mergeCell ref="A49:B49"/>
    <mergeCell ref="A50:B50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G29" zoomScaleNormal="100" workbookViewId="0">
      <selection activeCell="L49" sqref="L49:L59"/>
    </sheetView>
  </sheetViews>
  <sheetFormatPr defaultRowHeight="12.75"/>
  <cols>
    <col min="1" max="1" width="5.5" style="2" bestFit="1" customWidth="1"/>
    <col min="2" max="2" width="15" style="2" customWidth="1"/>
    <col min="3" max="3" width="19.125" style="2" customWidth="1"/>
    <col min="4" max="4" width="17.375" style="2" customWidth="1"/>
    <col min="5" max="5" width="8.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2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1.125" style="2" bestFit="1" customWidth="1"/>
    <col min="20" max="20" width="12.5" style="2" bestFit="1" customWidth="1"/>
    <col min="21" max="21" width="11.125" style="2" bestFit="1" customWidth="1"/>
    <col min="22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56</v>
      </c>
    </row>
    <row r="3" spans="1:21" ht="15.95" customHeight="1">
      <c r="B3" s="202" t="s">
        <v>43</v>
      </c>
      <c r="C3" s="202"/>
      <c r="D3" s="202"/>
      <c r="E3" s="3"/>
      <c r="F3" s="3" t="s">
        <v>57</v>
      </c>
    </row>
    <row r="4" spans="1:21" ht="15.95" customHeight="1">
      <c r="E4" s="3"/>
      <c r="F4" s="3" t="s">
        <v>58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38</v>
      </c>
      <c r="B8" s="7" t="s">
        <v>39</v>
      </c>
    </row>
    <row r="9" spans="1:21" ht="19.5" customHeight="1">
      <c r="A9" s="6" t="s">
        <v>40</v>
      </c>
      <c r="B9" s="7" t="s">
        <v>98</v>
      </c>
    </row>
    <row r="10" spans="1:21" ht="19.5" customHeight="1">
      <c r="A10" s="6" t="s">
        <v>41</v>
      </c>
      <c r="B10" s="8">
        <v>40374</v>
      </c>
    </row>
    <row r="11" spans="1:21" ht="19.5" customHeight="1">
      <c r="A11" s="6" t="s">
        <v>42</v>
      </c>
      <c r="B11" s="7" t="s">
        <v>138</v>
      </c>
    </row>
    <row r="12" spans="1:21" ht="19.5" customHeight="1">
      <c r="A12" s="6"/>
      <c r="B12" s="7"/>
    </row>
    <row r="13" spans="1:21" ht="50.1" customHeight="1">
      <c r="A13" s="212"/>
      <c r="B13" s="212"/>
      <c r="C13" s="212"/>
      <c r="D13" s="212"/>
      <c r="E13" s="212"/>
      <c r="F13" s="212"/>
    </row>
    <row r="14" spans="1:21" ht="31.5" customHeight="1">
      <c r="A14" s="213" t="s">
        <v>29</v>
      </c>
      <c r="B14" s="213"/>
      <c r="C14" s="213"/>
      <c r="D14" s="213"/>
      <c r="E14" s="213"/>
      <c r="F14" s="213"/>
    </row>
    <row r="15" spans="1:21">
      <c r="K15" s="134"/>
      <c r="L15" s="134"/>
      <c r="M15" s="134"/>
      <c r="N15" s="134"/>
    </row>
    <row r="16" spans="1:21" ht="38.25">
      <c r="A16" s="214"/>
      <c r="B16" s="214"/>
      <c r="C16" s="9" t="s">
        <v>99</v>
      </c>
      <c r="D16" s="9" t="s">
        <v>46</v>
      </c>
      <c r="E16" s="9" t="s">
        <v>25</v>
      </c>
      <c r="F16" s="9" t="s">
        <v>48</v>
      </c>
      <c r="G16" s="10">
        <v>0.75</v>
      </c>
      <c r="H16" s="2" t="s">
        <v>44</v>
      </c>
      <c r="I16" s="10">
        <v>0.75</v>
      </c>
      <c r="K16" s="9" t="s">
        <v>99</v>
      </c>
      <c r="L16" s="9" t="s">
        <v>109</v>
      </c>
      <c r="M16" s="9">
        <v>2010</v>
      </c>
      <c r="N16" s="9" t="s">
        <v>1</v>
      </c>
      <c r="O16" s="9" t="s">
        <v>129</v>
      </c>
      <c r="P16" s="9" t="s">
        <v>113</v>
      </c>
      <c r="Q16" s="9">
        <v>2009</v>
      </c>
      <c r="R16" s="9" t="s">
        <v>111</v>
      </c>
      <c r="S16" s="9" t="s">
        <v>130</v>
      </c>
      <c r="T16" s="9" t="s">
        <v>114</v>
      </c>
      <c r="U16" s="9">
        <v>2008</v>
      </c>
    </row>
    <row r="17" spans="1:21" ht="15.75" customHeight="1">
      <c r="A17" s="215" t="s">
        <v>26</v>
      </c>
      <c r="B17" s="215"/>
      <c r="C17" s="11">
        <f>'FY 2010 Rev as of 01-04-10'!D4</f>
        <v>130450730</v>
      </c>
      <c r="D17" s="11">
        <f>'FY2010 Rev as of 07-13-10'!C4</f>
        <v>129447511.40000001</v>
      </c>
      <c r="E17" s="12">
        <f t="shared" ref="E17:E24" si="0">(D17/C17)</f>
        <v>0.99230959765422555</v>
      </c>
      <c r="F17" s="29">
        <f t="shared" ref="F17:F23" si="1">D17-G17</f>
        <v>31609463.900000006</v>
      </c>
      <c r="G17" s="14">
        <f>C17*0.75</f>
        <v>97838047.5</v>
      </c>
      <c r="H17" s="15">
        <f t="shared" ref="H17:H23" si="2">C17-D17</f>
        <v>1003218.599999994</v>
      </c>
      <c r="I17" s="10">
        <v>0.75</v>
      </c>
      <c r="J17" s="21" t="str">
        <f t="shared" ref="J17:J23" si="3">A17</f>
        <v>Current / Delinquent Taxes</v>
      </c>
      <c r="K17" s="11">
        <f t="shared" ref="K17:L23" si="4">C17</f>
        <v>130450730</v>
      </c>
      <c r="L17" s="11">
        <f t="shared" si="4"/>
        <v>129447511.40000001</v>
      </c>
      <c r="M17" s="12">
        <f t="shared" ref="M17:M24" si="5">(L17/K17)</f>
        <v>0.99230959765422555</v>
      </c>
      <c r="N17" s="11">
        <f>'FY 2009 Rev 01-04-10'!E3</f>
        <v>119221816</v>
      </c>
      <c r="O17" s="11">
        <f>SUM('FY 2009 Rev 01-04-10'!F3:N3)</f>
        <v>118519974.36000001</v>
      </c>
      <c r="P17" s="11">
        <f>'FY 2009 Rev 01-04-10'!D3</f>
        <v>119967823.45</v>
      </c>
      <c r="Q17" s="12">
        <f t="shared" ref="Q17:Q24" si="6">O17/P17</f>
        <v>0.9879313548553007</v>
      </c>
      <c r="R17" s="11">
        <f>'FY 2008 Rev 01-04-10'!E3</f>
        <v>106565989</v>
      </c>
      <c r="S17" s="11">
        <f>SUM('FY 2008 Rev 01-04-10'!F3:N3)</f>
        <v>115681496.34</v>
      </c>
      <c r="T17" s="11">
        <f>'FY 2008 Rev 01-04-10'!D3</f>
        <v>117399101.34999999</v>
      </c>
      <c r="U17" s="12">
        <f t="shared" ref="U17:U24" si="7">S17/T17</f>
        <v>0.98536952165520142</v>
      </c>
    </row>
    <row r="18" spans="1:21" ht="15.75" customHeight="1">
      <c r="A18" s="215" t="s">
        <v>102</v>
      </c>
      <c r="B18" s="215"/>
      <c r="C18" s="16">
        <f>'FY 2010 Rev as of 01-04-10'!D7</f>
        <v>4000</v>
      </c>
      <c r="D18" s="28">
        <f>'FY2010 Rev as of 07-13-10'!C7</f>
        <v>2500</v>
      </c>
      <c r="E18" s="12">
        <f t="shared" si="0"/>
        <v>0.625</v>
      </c>
      <c r="F18" s="22">
        <f t="shared" si="1"/>
        <v>-500</v>
      </c>
      <c r="G18" s="14">
        <f t="shared" ref="G18:G24" si="8">C18*0.75</f>
        <v>3000</v>
      </c>
      <c r="H18" s="15">
        <f t="shared" si="2"/>
        <v>1500</v>
      </c>
      <c r="I18" s="10">
        <v>0.75</v>
      </c>
      <c r="J18" s="21" t="str">
        <f t="shared" si="3"/>
        <v>License / Permits</v>
      </c>
      <c r="K18" s="16">
        <f t="shared" si="4"/>
        <v>4000</v>
      </c>
      <c r="L18" s="28">
        <f t="shared" si="4"/>
        <v>2500</v>
      </c>
      <c r="M18" s="12">
        <f t="shared" si="5"/>
        <v>0.625</v>
      </c>
      <c r="N18" s="28">
        <f>'FY 2009 Rev 01-04-10'!E6</f>
        <v>4000</v>
      </c>
      <c r="O18" s="28">
        <f>SUM('FY 2009 Rev 01-04-10'!F6:N6)</f>
        <v>3500</v>
      </c>
      <c r="P18" s="28">
        <f>'FY 2009 Rev 01-04-10'!D6</f>
        <v>4000</v>
      </c>
      <c r="Q18" s="12">
        <f t="shared" si="6"/>
        <v>0.875</v>
      </c>
      <c r="R18" s="28">
        <f>'FY 2008 Rev 01-04-10'!E6</f>
        <v>4200</v>
      </c>
      <c r="S18" s="28">
        <f>SUM('FY 2008 Rev 01-04-10'!F6:N6)</f>
        <v>3000</v>
      </c>
      <c r="T18" s="28">
        <f>'FY 2008 Rev 01-04-10'!D6</f>
        <v>4000</v>
      </c>
      <c r="U18" s="12">
        <f t="shared" si="7"/>
        <v>0.75</v>
      </c>
    </row>
    <row r="19" spans="1:21" ht="15.75" customHeight="1">
      <c r="A19" s="215" t="s">
        <v>55</v>
      </c>
      <c r="B19" s="215"/>
      <c r="C19" s="16">
        <f>'FY 2010 Rev as of 01-04-10'!D12</f>
        <v>3547135</v>
      </c>
      <c r="D19" s="28">
        <f>'FY2010 Rev as of 07-13-10'!C12</f>
        <v>2353506.14</v>
      </c>
      <c r="E19" s="12">
        <f t="shared" si="0"/>
        <v>0.66349494451155655</v>
      </c>
      <c r="F19" s="22">
        <f t="shared" si="1"/>
        <v>-306845.10999999987</v>
      </c>
      <c r="G19" s="14">
        <f t="shared" si="8"/>
        <v>2660351.25</v>
      </c>
      <c r="H19" s="27">
        <f t="shared" si="2"/>
        <v>1193628.8599999999</v>
      </c>
      <c r="I19" s="10">
        <v>0.75</v>
      </c>
      <c r="J19" s="21" t="str">
        <f t="shared" si="3"/>
        <v>Intergovernmental Revenue</v>
      </c>
      <c r="K19" s="16">
        <f t="shared" si="4"/>
        <v>3547135</v>
      </c>
      <c r="L19" s="28">
        <f t="shared" si="4"/>
        <v>2353506.14</v>
      </c>
      <c r="M19" s="12">
        <f t="shared" si="5"/>
        <v>0.66349494451155655</v>
      </c>
      <c r="N19" s="28">
        <f>'FY 2009 Rev 01-04-10'!E11</f>
        <v>3678780</v>
      </c>
      <c r="O19" s="28">
        <f>SUM('FY 2009 Rev 01-04-10'!F11:N11)</f>
        <v>2231166.7399999998</v>
      </c>
      <c r="P19" s="28">
        <f>'FY 2009 Rev 01-04-10'!D11</f>
        <v>3992954.02</v>
      </c>
      <c r="Q19" s="12">
        <f t="shared" si="6"/>
        <v>0.55877596607035307</v>
      </c>
      <c r="R19" s="28">
        <f>'FY 2008 Rev 01-04-10'!E11</f>
        <v>3079080</v>
      </c>
      <c r="S19" s="28">
        <f>SUM('FY 2008 Rev 01-04-10'!F11:N11)</f>
        <v>2318013.42</v>
      </c>
      <c r="T19" s="28">
        <f>'FY 2008 Rev 01-04-10'!D11</f>
        <v>3979230.29</v>
      </c>
      <c r="U19" s="12">
        <f t="shared" si="7"/>
        <v>0.58252808987338101</v>
      </c>
    </row>
    <row r="20" spans="1:21" ht="15.75" customHeight="1">
      <c r="A20" s="215" t="s">
        <v>2</v>
      </c>
      <c r="B20" s="215"/>
      <c r="C20" s="16">
        <f>'FY 2010 Rev as of 01-04-10'!D19</f>
        <v>16957104</v>
      </c>
      <c r="D20" s="28">
        <f>'FY2010 Rev as of 07-13-10'!C19</f>
        <v>11247465.740000002</v>
      </c>
      <c r="E20" s="12">
        <f t="shared" si="0"/>
        <v>0.66328930576824918</v>
      </c>
      <c r="F20" s="22">
        <f t="shared" si="1"/>
        <v>-1470362.2599999979</v>
      </c>
      <c r="G20" s="14">
        <f t="shared" si="8"/>
        <v>12717828</v>
      </c>
      <c r="H20" s="27">
        <f t="shared" si="2"/>
        <v>5709638.2599999979</v>
      </c>
      <c r="I20" s="10">
        <v>0.75</v>
      </c>
      <c r="J20" s="21" t="str">
        <f t="shared" si="3"/>
        <v>Fees/Charges for Services</v>
      </c>
      <c r="K20" s="16">
        <f t="shared" si="4"/>
        <v>16957104</v>
      </c>
      <c r="L20" s="28">
        <f t="shared" si="4"/>
        <v>11247465.740000002</v>
      </c>
      <c r="M20" s="12">
        <f t="shared" si="5"/>
        <v>0.66328930576824918</v>
      </c>
      <c r="N20" s="28">
        <f>'FY 2009 Rev 01-04-10'!E18</f>
        <v>19143500</v>
      </c>
      <c r="O20" s="28">
        <f>SUM('FY 2009 Rev 01-04-10'!F18:N18)</f>
        <v>11414629.09</v>
      </c>
      <c r="P20" s="28">
        <f>'FY 2009 Rev 01-04-10'!D18</f>
        <v>15850676.109999999</v>
      </c>
      <c r="Q20" s="12">
        <f t="shared" si="6"/>
        <v>0.72013515453758148</v>
      </c>
      <c r="R20" s="28">
        <f>'FY 2008 Rev 01-04-10'!E18</f>
        <v>16631625</v>
      </c>
      <c r="S20" s="28">
        <f>SUM('FY 2008 Rev 01-04-10'!F18:N18)</f>
        <v>11724668.380000001</v>
      </c>
      <c r="T20" s="28">
        <f>'FY 2008 Rev 01-04-10'!D18</f>
        <v>15930660.34</v>
      </c>
      <c r="U20" s="12">
        <f t="shared" si="7"/>
        <v>0.73598131714356796</v>
      </c>
    </row>
    <row r="21" spans="1:21" ht="15.75" customHeight="1">
      <c r="A21" s="215" t="s">
        <v>4</v>
      </c>
      <c r="B21" s="215"/>
      <c r="C21" s="16">
        <f>'FY 2010 Rev as of 01-04-10'!D21</f>
        <v>2301020</v>
      </c>
      <c r="D21" s="28">
        <f>'FY2010 Rev as of 07-13-10'!C21</f>
        <v>1313542.2</v>
      </c>
      <c r="E21" s="12">
        <f t="shared" si="0"/>
        <v>0.57085214383186589</v>
      </c>
      <c r="F21" s="22">
        <f t="shared" si="1"/>
        <v>-412222.80000000005</v>
      </c>
      <c r="G21" s="14">
        <f t="shared" si="8"/>
        <v>1725765</v>
      </c>
      <c r="H21" s="27">
        <f t="shared" si="2"/>
        <v>987477.8</v>
      </c>
      <c r="I21" s="10">
        <v>0.75</v>
      </c>
      <c r="J21" s="21" t="str">
        <f t="shared" si="3"/>
        <v>Fines</v>
      </c>
      <c r="K21" s="16">
        <f t="shared" si="4"/>
        <v>2301020</v>
      </c>
      <c r="L21" s="28">
        <f t="shared" si="4"/>
        <v>1313542.2</v>
      </c>
      <c r="M21" s="12">
        <f t="shared" si="5"/>
        <v>0.57085214383186589</v>
      </c>
      <c r="N21" s="28">
        <f>'FY 2009 Rev 01-04-10'!E20</f>
        <v>2771000</v>
      </c>
      <c r="O21" s="28">
        <f>SUM('FY 2009 Rev 01-04-10'!F20:N20)</f>
        <v>1711633.2800000003</v>
      </c>
      <c r="P21" s="28">
        <f>'FY 2009 Rev 01-04-10'!D20</f>
        <v>2270389.13</v>
      </c>
      <c r="Q21" s="12">
        <f t="shared" si="6"/>
        <v>0.75389423662365773</v>
      </c>
      <c r="R21" s="28">
        <f>'FY 2008 Rev 01-04-10'!E20</f>
        <v>2967500</v>
      </c>
      <c r="S21" s="28">
        <f>SUM('FY 2008 Rev 01-04-10'!F20:N20)</f>
        <v>2082019.39</v>
      </c>
      <c r="T21" s="28">
        <f>'FY 2008 Rev 01-04-10'!D20</f>
        <v>2688475.7</v>
      </c>
      <c r="U21" s="12">
        <f t="shared" si="7"/>
        <v>0.77442373386525298</v>
      </c>
    </row>
    <row r="22" spans="1:21" ht="15.75" customHeight="1">
      <c r="A22" s="215" t="s">
        <v>3</v>
      </c>
      <c r="B22" s="215"/>
      <c r="C22" s="16">
        <f>'FY 2010 Rev as of 01-04-10'!D24</f>
        <v>3133290</v>
      </c>
      <c r="D22" s="28">
        <f>'FY2010 Rev as of 07-13-10'!C24</f>
        <v>1514494.0499999998</v>
      </c>
      <c r="E22" s="12">
        <f t="shared" si="0"/>
        <v>0.48335584960217531</v>
      </c>
      <c r="F22" s="22">
        <f t="shared" si="1"/>
        <v>-835473.45000000019</v>
      </c>
      <c r="G22" s="14">
        <f t="shared" si="8"/>
        <v>2349967.5</v>
      </c>
      <c r="H22" s="27">
        <f t="shared" si="2"/>
        <v>1618795.9500000002</v>
      </c>
      <c r="I22" s="10">
        <v>0.75</v>
      </c>
      <c r="J22" s="21" t="str">
        <f t="shared" si="3"/>
        <v>Investment Revenue</v>
      </c>
      <c r="K22" s="16">
        <f t="shared" si="4"/>
        <v>3133290</v>
      </c>
      <c r="L22" s="28">
        <f t="shared" si="4"/>
        <v>1514494.0499999998</v>
      </c>
      <c r="M22" s="12">
        <f t="shared" si="5"/>
        <v>0.48335584960217531</v>
      </c>
      <c r="N22" s="28">
        <f>'FY 2009 Rev 01-04-10'!E23</f>
        <v>5168400</v>
      </c>
      <c r="O22" s="28">
        <f>SUM('FY 2009 Rev 01-04-10'!F23:N23)</f>
        <v>2501728.25</v>
      </c>
      <c r="P22" s="28">
        <f>'FY 2009 Rev 01-04-10'!D23</f>
        <v>3039255.96</v>
      </c>
      <c r="Q22" s="12">
        <f t="shared" si="6"/>
        <v>0.82313838746243673</v>
      </c>
      <c r="R22" s="28">
        <f>'FY 2008 Rev 01-04-10'!E23</f>
        <v>6994800</v>
      </c>
      <c r="S22" s="28">
        <f>SUM('FY 2008 Rev 01-04-10'!F23:N23)</f>
        <v>4831159.5600000005</v>
      </c>
      <c r="T22" s="28">
        <f>'FY 2008 Rev 01-04-10'!D23</f>
        <v>6575786.3600000003</v>
      </c>
      <c r="U22" s="12">
        <f t="shared" si="7"/>
        <v>0.73468925167453281</v>
      </c>
    </row>
    <row r="23" spans="1:21" ht="15.75" customHeight="1" thickBot="1">
      <c r="A23" s="215" t="s">
        <v>27</v>
      </c>
      <c r="B23" s="215"/>
      <c r="C23" s="16">
        <f>'FY 2010 Rev as of 01-04-10'!D26+'FY 2010 Rev as of 01-04-10'!D30+'FY 2010 Rev as of 01-04-10'!D33</f>
        <v>564135</v>
      </c>
      <c r="D23" s="28">
        <f>'FY2010 Rev as of 07-13-10'!C30+'FY2010 Rev as of 07-13-10'!C33+'FY2010 Rev as of 07-13-10'!C26</f>
        <v>508163.77999999997</v>
      </c>
      <c r="E23" s="12">
        <f t="shared" si="0"/>
        <v>0.90078399673836929</v>
      </c>
      <c r="F23" s="22">
        <f t="shared" si="1"/>
        <v>85062.52999999997</v>
      </c>
      <c r="G23" s="14">
        <f t="shared" si="8"/>
        <v>423101.25</v>
      </c>
      <c r="H23" s="27">
        <f t="shared" si="2"/>
        <v>55971.22000000003</v>
      </c>
      <c r="I23" s="10">
        <v>0.75</v>
      </c>
      <c r="J23" s="21" t="str">
        <f t="shared" si="3"/>
        <v>Miscellaneous</v>
      </c>
      <c r="K23" s="117">
        <f t="shared" si="4"/>
        <v>564135</v>
      </c>
      <c r="L23" s="118">
        <f t="shared" si="4"/>
        <v>508163.77999999997</v>
      </c>
      <c r="M23" s="152">
        <f t="shared" si="5"/>
        <v>0.90078399673836929</v>
      </c>
      <c r="N23" s="118">
        <f>'FY 2009 Rev 01-04-10'!E25+'FY 2009 Rev 01-04-10'!E29+'FY 2009 Rev 01-04-10'!E32</f>
        <v>499810</v>
      </c>
      <c r="O23" s="118">
        <f>SUM('FY 2009 Rev 01-04-10'!F25:N25,'FY 2009 Rev 01-04-10'!F29:N29,'FY 2009 Rev 01-04-10'!F32:N32)</f>
        <v>450451.88</v>
      </c>
      <c r="P23" s="118">
        <f>'FY 2009 Rev 01-04-10'!D25+'FY 2009 Rev 01-04-10'!D29+'FY 2009 Rev 01-04-10'!D32</f>
        <v>837358.54999999993</v>
      </c>
      <c r="Q23" s="152">
        <f t="shared" si="6"/>
        <v>0.53794384735189016</v>
      </c>
      <c r="R23" s="118">
        <f>'FY 2008 Rev 01-04-10'!E25+'FY 2008 Rev 01-04-10'!E29+'FY 2008 Rev 01-04-10'!E32</f>
        <v>500000</v>
      </c>
      <c r="S23" s="118">
        <f>SUM('FY 2008 Rev 01-04-10'!F25:N25,'FY 2008 Rev 01-04-10'!F29:N29,'FY 2008 Rev 01-04-10'!F32:N32)</f>
        <v>390143.99000000005</v>
      </c>
      <c r="T23" s="118">
        <f>'FY 2008 Rev 01-04-10'!D25+'FY 2008 Rev 01-04-10'!D29+'FY 2008 Rev 01-04-10'!D32</f>
        <v>2058982.75</v>
      </c>
      <c r="U23" s="152">
        <f t="shared" si="7"/>
        <v>0.18948385555925618</v>
      </c>
    </row>
    <row r="24" spans="1:21" ht="15.75" customHeight="1" thickBot="1">
      <c r="A24" s="216" t="s">
        <v>28</v>
      </c>
      <c r="B24" s="216"/>
      <c r="C24" s="11">
        <f>SUM(C17:C23)</f>
        <v>156957414</v>
      </c>
      <c r="D24" s="11">
        <f>SUM(D17:D23)</f>
        <v>146387183.31</v>
      </c>
      <c r="E24" s="12">
        <f t="shared" si="0"/>
        <v>0.93265542276327262</v>
      </c>
      <c r="F24" s="17">
        <f>SUM(F17:F23)</f>
        <v>28669122.81000001</v>
      </c>
      <c r="G24" s="14">
        <f t="shared" si="8"/>
        <v>117718060.5</v>
      </c>
      <c r="H24" s="27"/>
      <c r="J24" s="21"/>
      <c r="K24" s="116">
        <f>SUM(K17:K23)</f>
        <v>156957414</v>
      </c>
      <c r="L24" s="116">
        <f>SUM(L17:L23)</f>
        <v>146387183.31</v>
      </c>
      <c r="M24" s="153">
        <f t="shared" si="5"/>
        <v>0.93265542276327262</v>
      </c>
      <c r="N24" s="116">
        <f>SUM(N17:N23)</f>
        <v>150487306</v>
      </c>
      <c r="O24" s="116">
        <f>SUM(O17:O23)</f>
        <v>136833083.60000002</v>
      </c>
      <c r="P24" s="116">
        <f>SUM(P17:P23)</f>
        <v>145962457.22</v>
      </c>
      <c r="Q24" s="153">
        <f t="shared" si="6"/>
        <v>0.93745396046436891</v>
      </c>
      <c r="R24" s="116">
        <f>SUM(R17:R23)</f>
        <v>136743194</v>
      </c>
      <c r="S24" s="116">
        <f>SUM(S17:S23)</f>
        <v>137030501.08000001</v>
      </c>
      <c r="T24" s="116">
        <f>SUM(T17:T23)</f>
        <v>148636236.78999999</v>
      </c>
      <c r="U24" s="153">
        <f t="shared" si="7"/>
        <v>0.92191853103495158</v>
      </c>
    </row>
    <row r="25" spans="1:21" ht="22.5" customHeight="1" thickTop="1">
      <c r="J25" s="21"/>
      <c r="K25" s="26"/>
    </row>
    <row r="26" spans="1:21">
      <c r="J26" s="21"/>
      <c r="K26" s="26"/>
    </row>
    <row r="40" spans="1:26">
      <c r="J40" s="135"/>
      <c r="K40" s="135"/>
    </row>
    <row r="41" spans="1:26">
      <c r="J41" s="135"/>
      <c r="K41" s="135"/>
    </row>
    <row r="42" spans="1:26">
      <c r="J42" s="135"/>
      <c r="K42" s="135"/>
    </row>
    <row r="43" spans="1:26">
      <c r="J43" s="135"/>
      <c r="K43" s="135"/>
    </row>
    <row r="44" spans="1:26">
      <c r="J44" s="135"/>
      <c r="K44" s="135"/>
    </row>
    <row r="45" spans="1:26">
      <c r="J45" s="135"/>
      <c r="K45" s="135"/>
    </row>
    <row r="46" spans="1:26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26" ht="12" customHeight="1">
      <c r="B47" s="18"/>
      <c r="C47" s="18"/>
      <c r="D47" s="18"/>
      <c r="E47" s="18"/>
      <c r="J47" s="135"/>
      <c r="K47" s="135"/>
    </row>
    <row r="48" spans="1:26" ht="36" customHeight="1">
      <c r="A48" s="217"/>
      <c r="B48" s="217"/>
      <c r="C48" s="19" t="s">
        <v>99</v>
      </c>
      <c r="D48" s="19" t="s">
        <v>47</v>
      </c>
      <c r="E48" s="19" t="s">
        <v>25</v>
      </c>
      <c r="F48" s="9" t="s">
        <v>48</v>
      </c>
      <c r="G48" s="10">
        <v>0.75</v>
      </c>
      <c r="H48" s="2" t="s">
        <v>45</v>
      </c>
      <c r="I48" s="10">
        <v>0.75</v>
      </c>
      <c r="K48" s="154" t="s">
        <v>99</v>
      </c>
      <c r="L48" s="150" t="s">
        <v>115</v>
      </c>
      <c r="M48" s="151">
        <v>2010</v>
      </c>
      <c r="N48" s="150" t="s">
        <v>116</v>
      </c>
      <c r="O48" s="150" t="s">
        <v>1</v>
      </c>
      <c r="P48" s="150" t="s">
        <v>131</v>
      </c>
      <c r="Q48" s="151">
        <v>2009</v>
      </c>
      <c r="R48" s="150" t="s">
        <v>118</v>
      </c>
      <c r="S48" s="150">
        <v>2009</v>
      </c>
      <c r="T48" s="150" t="s">
        <v>119</v>
      </c>
      <c r="U48" s="150" t="s">
        <v>111</v>
      </c>
      <c r="V48" s="150" t="s">
        <v>132</v>
      </c>
      <c r="W48" s="151">
        <v>2008</v>
      </c>
      <c r="X48" s="150" t="s">
        <v>121</v>
      </c>
      <c r="Y48" s="150">
        <v>2008</v>
      </c>
      <c r="Z48" s="150" t="s">
        <v>122</v>
      </c>
    </row>
    <row r="49" spans="1:26" ht="15.75" customHeight="1">
      <c r="A49" s="218" t="s">
        <v>30</v>
      </c>
      <c r="B49" s="219"/>
      <c r="C49" s="11">
        <f>'FY 2010 Exp as of 01-06-10'!C2</f>
        <v>302496</v>
      </c>
      <c r="D49" s="11">
        <f>'FY2010 Exp as of 07-13-10'!E2</f>
        <v>200368.58</v>
      </c>
      <c r="E49" s="12">
        <f t="shared" ref="E49:E60" si="9">(D49/C49)</f>
        <v>0.66238422987411405</v>
      </c>
      <c r="F49" s="11">
        <f t="shared" ref="F49:F60" si="10">G49-D49</f>
        <v>26503.420000000013</v>
      </c>
      <c r="G49" s="23">
        <f>C49*0.75</f>
        <v>226872</v>
      </c>
      <c r="H49" s="24">
        <f t="shared" ref="H49:H58" si="11">C49-D49</f>
        <v>102127.42000000001</v>
      </c>
      <c r="I49" s="1">
        <v>0.75</v>
      </c>
      <c r="J49" s="135" t="s">
        <v>30</v>
      </c>
      <c r="K49" s="13">
        <f t="shared" ref="K49:K59" si="12">C49</f>
        <v>302496</v>
      </c>
      <c r="L49" s="13">
        <f t="shared" ref="L49:L59" si="13">D49</f>
        <v>200368.58</v>
      </c>
      <c r="M49" s="155">
        <f t="shared" ref="M49:M60" si="14">(L49/K49)</f>
        <v>0.66238422987411405</v>
      </c>
      <c r="N49" s="13">
        <f t="shared" ref="N49:N59" si="15">K49-L49</f>
        <v>102127.42000000001</v>
      </c>
      <c r="O49" s="13">
        <f>'FY 2009 Exp 01-06-10'!C2</f>
        <v>307595</v>
      </c>
      <c r="P49" s="13">
        <f>SUM('FY 2009 Exp 01-06-10'!F2:N2)</f>
        <v>188469.08000000002</v>
      </c>
      <c r="Q49" s="155">
        <f t="shared" ref="Q49:Q60" si="16">P49/O49</f>
        <v>0.61271828215673207</v>
      </c>
      <c r="R49" s="13">
        <f>'FY 2009 Exp 01-06-10'!D2</f>
        <v>307595</v>
      </c>
      <c r="S49" s="155">
        <f t="shared" ref="S49:S60" si="17">P49/R49</f>
        <v>0.61271828215673207</v>
      </c>
      <c r="T49" s="13">
        <f t="shared" ref="T49:T59" si="18">O49-P49</f>
        <v>119125.91999999998</v>
      </c>
      <c r="U49" s="13">
        <f>'FY 2008 Exp 01-06-10'!C2</f>
        <v>326242</v>
      </c>
      <c r="V49" s="13">
        <f>SUM('FY 2008 Exp 01-06-10'!F2:N2)</f>
        <v>199774.1</v>
      </c>
      <c r="W49" s="155">
        <f t="shared" ref="W49:W60" si="19">V49/U49</f>
        <v>0.61234942159501227</v>
      </c>
      <c r="X49" s="13">
        <f>'FY 2008 Exp 01-06-10'!D2</f>
        <v>326266</v>
      </c>
      <c r="Y49" s="155">
        <f t="shared" ref="Y49:Y60" si="20">V49/X49</f>
        <v>0.61230437740984356</v>
      </c>
      <c r="Z49" s="13">
        <f t="shared" ref="Z49:Z59" si="21">U49-V49</f>
        <v>126467.9</v>
      </c>
    </row>
    <row r="50" spans="1:26" ht="15.75" customHeight="1">
      <c r="A50" s="218" t="s">
        <v>123</v>
      </c>
      <c r="B50" s="219"/>
      <c r="C50" s="11">
        <f>'FY 2010 Exp as of 01-06-10'!C3</f>
        <v>411370</v>
      </c>
      <c r="D50" s="28">
        <f>'FY2010 Exp as of 07-13-10'!E3</f>
        <v>383143.79</v>
      </c>
      <c r="E50" s="12">
        <f t="shared" si="9"/>
        <v>0.9313848603447018</v>
      </c>
      <c r="F50" s="28">
        <f t="shared" si="10"/>
        <v>-74616.289999999979</v>
      </c>
      <c r="G50" s="23">
        <f t="shared" ref="G50:G60" si="22">C50*0.75</f>
        <v>308527.5</v>
      </c>
      <c r="H50" s="25">
        <f t="shared" si="11"/>
        <v>28226.210000000021</v>
      </c>
      <c r="I50" s="1">
        <v>0.75</v>
      </c>
      <c r="J50" s="135" t="s">
        <v>123</v>
      </c>
      <c r="K50" s="156">
        <f t="shared" si="12"/>
        <v>411370</v>
      </c>
      <c r="L50" s="156">
        <f t="shared" si="13"/>
        <v>383143.79</v>
      </c>
      <c r="M50" s="155">
        <f t="shared" si="14"/>
        <v>0.9313848603447018</v>
      </c>
      <c r="N50" s="156">
        <f t="shared" si="15"/>
        <v>28226.210000000021</v>
      </c>
      <c r="O50" s="156">
        <f>'FY 2009 Exp 01-06-10'!C3</f>
        <v>510370</v>
      </c>
      <c r="P50" s="156">
        <f>SUM('FY 2009 Exp 01-06-10'!F3:N3)</f>
        <v>460181.56999999995</v>
      </c>
      <c r="Q50" s="155">
        <f t="shared" si="16"/>
        <v>0.90166265650410482</v>
      </c>
      <c r="R50" s="156">
        <f>'FY 2009 Exp 01-06-10'!D3</f>
        <v>575162</v>
      </c>
      <c r="S50" s="155">
        <f t="shared" si="17"/>
        <v>0.8000903571515503</v>
      </c>
      <c r="T50" s="13">
        <f t="shared" si="18"/>
        <v>50188.430000000051</v>
      </c>
      <c r="U50" s="156">
        <f>'FY 2008 Exp 01-06-10'!C3</f>
        <v>461110</v>
      </c>
      <c r="V50" s="156">
        <f>SUM('FY 2008 Exp 01-06-10'!F3:N3)</f>
        <v>411452.24000000005</v>
      </c>
      <c r="W50" s="155">
        <f t="shared" si="19"/>
        <v>0.89230821279087436</v>
      </c>
      <c r="X50" s="156">
        <f>'FY 2008 Exp 01-06-10'!D3</f>
        <v>497765</v>
      </c>
      <c r="Y50" s="155">
        <f t="shared" si="20"/>
        <v>0.82659937922513649</v>
      </c>
      <c r="Z50" s="13">
        <f t="shared" si="21"/>
        <v>49657.759999999951</v>
      </c>
    </row>
    <row r="51" spans="1:26" ht="15.75" customHeight="1">
      <c r="A51" s="218" t="s">
        <v>31</v>
      </c>
      <c r="B51" s="219"/>
      <c r="C51" s="11">
        <f>'FY 2010 Exp as of 01-06-10'!C5</f>
        <v>3263326</v>
      </c>
      <c r="D51" s="28">
        <f>'FY2010 Exp as of 07-13-10'!E5</f>
        <v>2193821.02</v>
      </c>
      <c r="E51" s="12">
        <f t="shared" si="9"/>
        <v>0.67226535749109961</v>
      </c>
      <c r="F51" s="28">
        <f t="shared" si="10"/>
        <v>253673.47999999998</v>
      </c>
      <c r="G51" s="23">
        <f t="shared" si="22"/>
        <v>2447494.5</v>
      </c>
      <c r="H51" s="25">
        <f t="shared" si="11"/>
        <v>1069504.98</v>
      </c>
      <c r="I51" s="1">
        <v>0.75</v>
      </c>
      <c r="J51" s="135" t="s">
        <v>31</v>
      </c>
      <c r="K51" s="156">
        <f t="shared" si="12"/>
        <v>3263326</v>
      </c>
      <c r="L51" s="156">
        <f t="shared" si="13"/>
        <v>2193821.02</v>
      </c>
      <c r="M51" s="155">
        <f t="shared" si="14"/>
        <v>0.67226535749109961</v>
      </c>
      <c r="N51" s="156">
        <f t="shared" si="15"/>
        <v>1069504.98</v>
      </c>
      <c r="O51" s="156">
        <f>'FY 2009 Exp 01-06-10'!C5</f>
        <v>3360551</v>
      </c>
      <c r="P51" s="156">
        <f>SUM('FY 2009 Exp 01-06-10'!F5:N5)</f>
        <v>2129539.5900000003</v>
      </c>
      <c r="Q51" s="155">
        <f t="shared" si="16"/>
        <v>0.63368762741586138</v>
      </c>
      <c r="R51" s="156">
        <f>'FY 2009 Exp 01-06-10'!D5</f>
        <v>3258569</v>
      </c>
      <c r="S51" s="155">
        <f t="shared" si="17"/>
        <v>0.65351987022524316</v>
      </c>
      <c r="T51" s="13">
        <f t="shared" si="18"/>
        <v>1231011.4099999997</v>
      </c>
      <c r="U51" s="156">
        <f>'FY 2008 Exp 01-06-10'!C5</f>
        <v>2433415</v>
      </c>
      <c r="V51" s="156">
        <f>SUM('FY 2008 Exp 01-06-10'!F5:N5)</f>
        <v>2055582.9600000002</v>
      </c>
      <c r="W51" s="155">
        <f t="shared" si="19"/>
        <v>0.84473176996114518</v>
      </c>
      <c r="X51" s="156">
        <f>'FY 2008 Exp 01-06-10'!D5</f>
        <v>3116351</v>
      </c>
      <c r="Y51" s="155">
        <f t="shared" si="20"/>
        <v>0.65961214253465039</v>
      </c>
      <c r="Z51" s="13">
        <f t="shared" si="21"/>
        <v>377832.0399999998</v>
      </c>
    </row>
    <row r="52" spans="1:26" ht="15.75" customHeight="1">
      <c r="A52" s="218" t="s">
        <v>15</v>
      </c>
      <c r="B52" s="219"/>
      <c r="C52" s="11">
        <f>'FY 2010 Exp as of 01-06-10'!C6</f>
        <v>10604579</v>
      </c>
      <c r="D52" s="28">
        <f>'FY2010 Exp as of 07-13-10'!E6</f>
        <v>7648186.1399999997</v>
      </c>
      <c r="E52" s="12">
        <f t="shared" si="9"/>
        <v>0.7212154428761387</v>
      </c>
      <c r="F52" s="28">
        <f t="shared" si="10"/>
        <v>305248.11000000034</v>
      </c>
      <c r="G52" s="23">
        <f t="shared" si="22"/>
        <v>7953434.25</v>
      </c>
      <c r="H52" s="25">
        <f t="shared" si="11"/>
        <v>2956392.8600000003</v>
      </c>
      <c r="I52" s="1">
        <v>0.75</v>
      </c>
      <c r="J52" s="135" t="s">
        <v>15</v>
      </c>
      <c r="K52" s="156">
        <f t="shared" si="12"/>
        <v>10604579</v>
      </c>
      <c r="L52" s="156">
        <f t="shared" si="13"/>
        <v>7648186.1399999997</v>
      </c>
      <c r="M52" s="155">
        <f t="shared" si="14"/>
        <v>0.7212154428761387</v>
      </c>
      <c r="N52" s="156">
        <f t="shared" si="15"/>
        <v>2956392.8600000003</v>
      </c>
      <c r="O52" s="156">
        <f>'FY 2009 Exp 01-06-10'!C6</f>
        <v>10906229</v>
      </c>
      <c r="P52" s="156">
        <f>SUM('FY 2009 Exp 01-06-10'!F6:N6)</f>
        <v>7281216.5200000005</v>
      </c>
      <c r="Q52" s="155">
        <f t="shared" si="16"/>
        <v>0.66761999220812263</v>
      </c>
      <c r="R52" s="156">
        <f>'FY 2009 Exp 01-06-10'!D6</f>
        <v>11732575</v>
      </c>
      <c r="S52" s="155">
        <f t="shared" si="17"/>
        <v>0.62059833582994361</v>
      </c>
      <c r="T52" s="13">
        <f t="shared" si="18"/>
        <v>3625012.4799999995</v>
      </c>
      <c r="U52" s="156">
        <f>'FY 2008 Exp 01-06-10'!C6</f>
        <v>9925189</v>
      </c>
      <c r="V52" s="156">
        <f>SUM('FY 2008 Exp 01-06-10'!F6:N6)</f>
        <v>6768344.6200000001</v>
      </c>
      <c r="W52" s="155">
        <f t="shared" si="19"/>
        <v>0.68193609411367384</v>
      </c>
      <c r="X52" s="156">
        <f>'FY 2008 Exp 01-06-10'!D6</f>
        <v>10190881</v>
      </c>
      <c r="Y52" s="155">
        <f t="shared" si="20"/>
        <v>0.6641569673907487</v>
      </c>
      <c r="Z52" s="13">
        <f t="shared" si="21"/>
        <v>3156844.38</v>
      </c>
    </row>
    <row r="53" spans="1:26" ht="15.75" customHeight="1">
      <c r="A53" s="218" t="s">
        <v>14</v>
      </c>
      <c r="B53" s="219"/>
      <c r="C53" s="11">
        <f>'FY 2010 Exp as of 01-06-10'!C7</f>
        <v>36033186</v>
      </c>
      <c r="D53" s="28">
        <f>'FY2010 Exp as of 07-13-10'!E7</f>
        <v>19505690.91</v>
      </c>
      <c r="E53" s="12">
        <f t="shared" si="9"/>
        <v>0.54132573539292361</v>
      </c>
      <c r="F53" s="28">
        <f t="shared" si="10"/>
        <v>7519198.5899999999</v>
      </c>
      <c r="G53" s="23">
        <f t="shared" si="22"/>
        <v>27024889.5</v>
      </c>
      <c r="H53" s="25">
        <f t="shared" si="11"/>
        <v>16527495.09</v>
      </c>
      <c r="I53" s="1">
        <v>0.75</v>
      </c>
      <c r="J53" s="135" t="s">
        <v>14</v>
      </c>
      <c r="K53" s="156">
        <f t="shared" si="12"/>
        <v>36033186</v>
      </c>
      <c r="L53" s="156">
        <f t="shared" si="13"/>
        <v>19505690.91</v>
      </c>
      <c r="M53" s="155">
        <f t="shared" si="14"/>
        <v>0.54132573539292361</v>
      </c>
      <c r="N53" s="156">
        <f t="shared" si="15"/>
        <v>16527495.09</v>
      </c>
      <c r="O53" s="156">
        <f>'FY 2009 Exp 01-06-10'!C7</f>
        <v>34955768</v>
      </c>
      <c r="P53" s="156">
        <f>SUM('FY 2009 Exp 01-06-10'!F7:N7)</f>
        <v>18757224.559999999</v>
      </c>
      <c r="Q53" s="155">
        <f t="shared" si="16"/>
        <v>0.5365988399968783</v>
      </c>
      <c r="R53" s="156">
        <f>'FY 2009 Exp 01-06-10'!D7</f>
        <v>31765451</v>
      </c>
      <c r="S53" s="155">
        <f t="shared" si="17"/>
        <v>0.59049136623308129</v>
      </c>
      <c r="T53" s="13">
        <f t="shared" si="18"/>
        <v>16198543.440000001</v>
      </c>
      <c r="U53" s="156">
        <f>'FY 2008 Exp 01-06-10'!C7</f>
        <v>33931130</v>
      </c>
      <c r="V53" s="156">
        <f>SUM('FY 2008 Exp 01-06-10'!F7:N7)</f>
        <v>16570877.930000002</v>
      </c>
      <c r="W53" s="155">
        <f t="shared" si="19"/>
        <v>0.48836799511245282</v>
      </c>
      <c r="X53" s="156">
        <f>'FY 2008 Exp 01-06-10'!D7</f>
        <v>30400731</v>
      </c>
      <c r="Y53" s="155">
        <f t="shared" si="20"/>
        <v>0.54508156169007915</v>
      </c>
      <c r="Z53" s="13">
        <f t="shared" si="21"/>
        <v>17360252.07</v>
      </c>
    </row>
    <row r="54" spans="1:26" ht="15.75" customHeight="1">
      <c r="A54" s="218" t="s">
        <v>124</v>
      </c>
      <c r="B54" s="219"/>
      <c r="C54" s="11">
        <f>'FY 2010 Exp as of 01-06-10'!C8</f>
        <v>11603014</v>
      </c>
      <c r="D54" s="28">
        <f>'FY2010 Exp as of 07-13-10'!E8</f>
        <v>7927464.3200000003</v>
      </c>
      <c r="E54" s="12">
        <f t="shared" si="9"/>
        <v>0.68322457595931541</v>
      </c>
      <c r="F54" s="28">
        <f t="shared" si="10"/>
        <v>774796.1799999997</v>
      </c>
      <c r="G54" s="23">
        <f t="shared" si="22"/>
        <v>8702260.5</v>
      </c>
      <c r="H54" s="25">
        <f t="shared" si="11"/>
        <v>3675549.6799999997</v>
      </c>
      <c r="I54" s="1">
        <v>0.75</v>
      </c>
      <c r="J54" s="135" t="s">
        <v>124</v>
      </c>
      <c r="K54" s="156">
        <f t="shared" si="12"/>
        <v>11603014</v>
      </c>
      <c r="L54" s="156">
        <f t="shared" si="13"/>
        <v>7927464.3200000003</v>
      </c>
      <c r="M54" s="155">
        <f t="shared" si="14"/>
        <v>0.68322457595931541</v>
      </c>
      <c r="N54" s="156">
        <f t="shared" si="15"/>
        <v>3675549.6799999997</v>
      </c>
      <c r="O54" s="156">
        <f>'FY 2009 Exp 01-06-10'!C8</f>
        <v>11138553</v>
      </c>
      <c r="P54" s="156">
        <f>SUM('FY 2009 Exp 01-06-10'!F8:N8)</f>
        <v>8118866.5700000003</v>
      </c>
      <c r="Q54" s="155">
        <f t="shared" si="16"/>
        <v>0.72889778142636663</v>
      </c>
      <c r="R54" s="156">
        <f>'FY 2009 Exp 01-06-10'!D8</f>
        <v>12178567</v>
      </c>
      <c r="S54" s="155">
        <f t="shared" si="17"/>
        <v>0.66665204288813296</v>
      </c>
      <c r="T54" s="13">
        <f t="shared" si="18"/>
        <v>3019686.4299999997</v>
      </c>
      <c r="U54" s="156">
        <f>'FY 2008 Exp 01-06-10'!C8</f>
        <v>10691922</v>
      </c>
      <c r="V54" s="156">
        <f>SUM('FY 2008 Exp 01-06-10'!F8:N8)</f>
        <v>7861356.0700000003</v>
      </c>
      <c r="W54" s="155">
        <f t="shared" si="19"/>
        <v>0.73526126266166181</v>
      </c>
      <c r="X54" s="156">
        <f>'FY 2008 Exp 01-06-10'!D8</f>
        <v>11576518</v>
      </c>
      <c r="Y54" s="155">
        <f t="shared" si="20"/>
        <v>0.67907777364489053</v>
      </c>
      <c r="Z54" s="13">
        <f t="shared" si="21"/>
        <v>2830565.9299999997</v>
      </c>
    </row>
    <row r="55" spans="1:26" ht="15.75" customHeight="1">
      <c r="A55" s="218" t="s">
        <v>32</v>
      </c>
      <c r="B55" s="219"/>
      <c r="C55" s="11">
        <f>'FY 2010 Exp as of 01-06-10'!C9</f>
        <v>14742575</v>
      </c>
      <c r="D55" s="28">
        <f>'FY2010 Exp as of 07-13-10'!E9</f>
        <v>10275613.33</v>
      </c>
      <c r="E55" s="12">
        <f t="shared" si="9"/>
        <v>0.69700261521477758</v>
      </c>
      <c r="F55" s="28">
        <f t="shared" si="10"/>
        <v>781317.91999999993</v>
      </c>
      <c r="G55" s="23">
        <f t="shared" si="22"/>
        <v>11056931.25</v>
      </c>
      <c r="H55" s="25">
        <f t="shared" si="11"/>
        <v>4466961.67</v>
      </c>
      <c r="I55" s="1">
        <v>0.75</v>
      </c>
      <c r="J55" s="135" t="s">
        <v>32</v>
      </c>
      <c r="K55" s="156">
        <f t="shared" si="12"/>
        <v>14742575</v>
      </c>
      <c r="L55" s="156">
        <f t="shared" si="13"/>
        <v>10275613.33</v>
      </c>
      <c r="M55" s="155">
        <f t="shared" si="14"/>
        <v>0.69700261521477758</v>
      </c>
      <c r="N55" s="156">
        <f t="shared" si="15"/>
        <v>4466961.67</v>
      </c>
      <c r="O55" s="156">
        <f>'FY 2009 Exp 01-06-10'!C9</f>
        <v>14546174</v>
      </c>
      <c r="P55" s="156">
        <f>SUM('FY 2009 Exp 01-06-10'!F9:N9)</f>
        <v>9790971.8100000005</v>
      </c>
      <c r="Q55" s="155">
        <f t="shared" si="16"/>
        <v>0.67309601892566395</v>
      </c>
      <c r="R55" s="156">
        <f>'FY 2009 Exp 01-06-10'!D9</f>
        <v>14631394</v>
      </c>
      <c r="S55" s="155">
        <f t="shared" si="17"/>
        <v>0.66917559666563564</v>
      </c>
      <c r="T55" s="13">
        <f t="shared" si="18"/>
        <v>4755202.1899999995</v>
      </c>
      <c r="U55" s="156">
        <f>'FY 2008 Exp 01-06-10'!C9</f>
        <v>13877308</v>
      </c>
      <c r="V55" s="156">
        <f>SUM('FY 2008 Exp 01-06-10'!F9:N9)</f>
        <v>9720455.1499999985</v>
      </c>
      <c r="W55" s="155">
        <f t="shared" si="19"/>
        <v>0.70045682851457924</v>
      </c>
      <c r="X55" s="156">
        <f>'FY 2008 Exp 01-06-10'!D9</f>
        <v>14249804</v>
      </c>
      <c r="Y55" s="155">
        <f t="shared" si="20"/>
        <v>0.68214658601620048</v>
      </c>
      <c r="Z55" s="13">
        <f t="shared" si="21"/>
        <v>4156852.8500000015</v>
      </c>
    </row>
    <row r="56" spans="1:26" ht="15.75" customHeight="1">
      <c r="A56" s="218" t="s">
        <v>33</v>
      </c>
      <c r="B56" s="219"/>
      <c r="C56" s="11">
        <f>'FY 2010 Exp as of 01-06-10'!C10</f>
        <v>10775827</v>
      </c>
      <c r="D56" s="28">
        <f>'FY2010 Exp as of 07-13-10'!E10</f>
        <v>7817873.0199999996</v>
      </c>
      <c r="E56" s="12">
        <f t="shared" si="9"/>
        <v>0.72550097732638053</v>
      </c>
      <c r="F56" s="28">
        <f t="shared" si="10"/>
        <v>263997.23000000045</v>
      </c>
      <c r="G56" s="23">
        <f t="shared" si="22"/>
        <v>8081870.25</v>
      </c>
      <c r="H56" s="25">
        <f t="shared" si="11"/>
        <v>2957953.9800000004</v>
      </c>
      <c r="I56" s="1">
        <v>0.75</v>
      </c>
      <c r="J56" s="135" t="s">
        <v>33</v>
      </c>
      <c r="K56" s="156">
        <f t="shared" si="12"/>
        <v>10775827</v>
      </c>
      <c r="L56" s="156">
        <f t="shared" si="13"/>
        <v>7817873.0199999996</v>
      </c>
      <c r="M56" s="155">
        <f t="shared" si="14"/>
        <v>0.72550097732638053</v>
      </c>
      <c r="N56" s="156">
        <f t="shared" si="15"/>
        <v>2957953.9800000004</v>
      </c>
      <c r="O56" s="156">
        <f>'FY 2009 Exp 01-06-10'!C10</f>
        <v>10460745</v>
      </c>
      <c r="P56" s="156">
        <f>SUM('FY 2009 Exp 01-06-10'!F10:N10)</f>
        <v>7216833.1699999999</v>
      </c>
      <c r="Q56" s="155">
        <f t="shared" si="16"/>
        <v>0.68989667275131938</v>
      </c>
      <c r="R56" s="156">
        <f>'FY 2009 Exp 01-06-10'!D10</f>
        <v>10518776</v>
      </c>
      <c r="S56" s="155">
        <f t="shared" si="17"/>
        <v>0.68609058411358892</v>
      </c>
      <c r="T56" s="13">
        <f t="shared" si="18"/>
        <v>3243911.83</v>
      </c>
      <c r="U56" s="156">
        <f>'FY 2008 Exp 01-06-10'!C10</f>
        <v>10121330</v>
      </c>
      <c r="V56" s="156">
        <f>SUM('FY 2008 Exp 01-06-10'!F10:N10)</f>
        <v>7074690.3800000008</v>
      </c>
      <c r="W56" s="155">
        <f t="shared" si="19"/>
        <v>0.69898821399954358</v>
      </c>
      <c r="X56" s="156">
        <f>'FY 2008 Exp 01-06-10'!D10</f>
        <v>10185578</v>
      </c>
      <c r="Y56" s="155">
        <f t="shared" si="20"/>
        <v>0.69457917655728529</v>
      </c>
      <c r="Z56" s="13">
        <f t="shared" si="21"/>
        <v>3046639.6199999992</v>
      </c>
    </row>
    <row r="57" spans="1:26" ht="15.75" customHeight="1">
      <c r="A57" s="218" t="s">
        <v>34</v>
      </c>
      <c r="B57" s="219"/>
      <c r="C57" s="11">
        <f>'FY 2010 Exp as of 01-06-10'!C11</f>
        <v>10781064</v>
      </c>
      <c r="D57" s="28">
        <f>'FY2010 Exp as of 07-13-10'!E11</f>
        <v>6861788.5899999999</v>
      </c>
      <c r="E57" s="12">
        <f t="shared" si="9"/>
        <v>0.63646673371014217</v>
      </c>
      <c r="F57" s="28">
        <f t="shared" si="10"/>
        <v>1224009.4100000001</v>
      </c>
      <c r="G57" s="23">
        <f t="shared" si="22"/>
        <v>8085798</v>
      </c>
      <c r="H57" s="25">
        <f t="shared" si="11"/>
        <v>3919275.41</v>
      </c>
      <c r="I57" s="1">
        <v>0.75</v>
      </c>
      <c r="J57" s="135" t="s">
        <v>34</v>
      </c>
      <c r="K57" s="156">
        <f t="shared" si="12"/>
        <v>10781064</v>
      </c>
      <c r="L57" s="156">
        <f t="shared" si="13"/>
        <v>6861788.5899999999</v>
      </c>
      <c r="M57" s="155">
        <f t="shared" si="14"/>
        <v>0.63646673371014217</v>
      </c>
      <c r="N57" s="156">
        <f t="shared" si="15"/>
        <v>3919275.41</v>
      </c>
      <c r="O57" s="156">
        <f>'FY 2009 Exp 01-06-10'!C11</f>
        <v>10829424</v>
      </c>
      <c r="P57" s="156">
        <f>SUM('FY 2009 Exp 01-06-10'!F11:N11)</f>
        <v>6973239.3600000003</v>
      </c>
      <c r="Q57" s="155">
        <f t="shared" si="16"/>
        <v>0.64391599774835673</v>
      </c>
      <c r="R57" s="156">
        <f>'FY 2009 Exp 01-06-10'!D11</f>
        <v>11207054</v>
      </c>
      <c r="S57" s="155">
        <f t="shared" si="17"/>
        <v>0.62221877042798224</v>
      </c>
      <c r="T57" s="13">
        <f t="shared" si="18"/>
        <v>3856184.6399999997</v>
      </c>
      <c r="U57" s="156">
        <f>'FY 2008 Exp 01-06-10'!C11</f>
        <v>10503495</v>
      </c>
      <c r="V57" s="156">
        <f>SUM('FY 2008 Exp 01-06-10'!F11:N11)</f>
        <v>7069854.6399999987</v>
      </c>
      <c r="W57" s="155">
        <f t="shared" si="19"/>
        <v>0.67309544489715079</v>
      </c>
      <c r="X57" s="156">
        <f>'FY 2008 Exp 01-06-10'!D11</f>
        <v>11177385</v>
      </c>
      <c r="Y57" s="155">
        <f t="shared" si="20"/>
        <v>0.63251419182572655</v>
      </c>
      <c r="Z57" s="13">
        <f t="shared" si="21"/>
        <v>3433640.3600000013</v>
      </c>
    </row>
    <row r="58" spans="1:26" ht="15.75" customHeight="1">
      <c r="A58" s="218" t="s">
        <v>35</v>
      </c>
      <c r="B58" s="219"/>
      <c r="C58" s="11">
        <f>'FY 2010 Exp as of 01-06-10'!C12</f>
        <v>45971504</v>
      </c>
      <c r="D58" s="28">
        <f>'FY2010 Exp as of 07-13-10'!E12</f>
        <v>33909150.039999999</v>
      </c>
      <c r="E58" s="12">
        <f t="shared" si="9"/>
        <v>0.7376123704806351</v>
      </c>
      <c r="F58" s="28">
        <f t="shared" si="10"/>
        <v>569477.96000000089</v>
      </c>
      <c r="G58" s="23">
        <f t="shared" si="22"/>
        <v>34478628</v>
      </c>
      <c r="H58" s="25">
        <f t="shared" si="11"/>
        <v>12062353.960000001</v>
      </c>
      <c r="I58" s="1">
        <v>0.75</v>
      </c>
      <c r="J58" s="135" t="s">
        <v>35</v>
      </c>
      <c r="K58" s="156">
        <f t="shared" si="12"/>
        <v>45971504</v>
      </c>
      <c r="L58" s="156">
        <f t="shared" si="13"/>
        <v>33909150.039999999</v>
      </c>
      <c r="M58" s="155">
        <f t="shared" si="14"/>
        <v>0.7376123704806351</v>
      </c>
      <c r="N58" s="156">
        <f t="shared" si="15"/>
        <v>12062353.960000001</v>
      </c>
      <c r="O58" s="156">
        <f>'FY 2009 Exp 01-06-10'!C12</f>
        <v>44763416</v>
      </c>
      <c r="P58" s="156">
        <f>SUM('FY 2009 Exp 01-06-10'!F12:N12)</f>
        <v>32122715.57</v>
      </c>
      <c r="Q58" s="155">
        <f t="shared" si="16"/>
        <v>0.71761090730877197</v>
      </c>
      <c r="R58" s="156">
        <f>'FY 2009 Exp 01-06-10'!D12</f>
        <v>45148643</v>
      </c>
      <c r="S58" s="155">
        <f t="shared" si="17"/>
        <v>0.71148795258364683</v>
      </c>
      <c r="T58" s="13">
        <f t="shared" si="18"/>
        <v>12640700.43</v>
      </c>
      <c r="U58" s="156">
        <f>'FY 2008 Exp 01-06-10'!C12</f>
        <v>44214975</v>
      </c>
      <c r="V58" s="156">
        <f>SUM('FY 2008 Exp 01-06-10'!F12:N12)</f>
        <v>31608996.940000005</v>
      </c>
      <c r="W58" s="155">
        <f t="shared" si="19"/>
        <v>0.71489347082068921</v>
      </c>
      <c r="X58" s="156">
        <f>'FY 2008 Exp 01-06-10'!D12</f>
        <v>44791732</v>
      </c>
      <c r="Y58" s="155">
        <f t="shared" si="20"/>
        <v>0.70568820468920479</v>
      </c>
      <c r="Z58" s="13">
        <f t="shared" si="21"/>
        <v>12605978.059999995</v>
      </c>
    </row>
    <row r="59" spans="1:26" ht="15.75" customHeight="1" thickBot="1">
      <c r="A59" s="218" t="s">
        <v>36</v>
      </c>
      <c r="B59" s="219"/>
      <c r="C59" s="11">
        <f>'FY 2010 Exp as of 01-06-10'!C14</f>
        <v>8370000</v>
      </c>
      <c r="D59" s="28">
        <f>'FY2010 Exp as of 07-13-10'!E14</f>
        <v>8420000</v>
      </c>
      <c r="E59" s="12">
        <f t="shared" si="9"/>
        <v>1.005973715651135</v>
      </c>
      <c r="F59" s="28">
        <f t="shared" si="10"/>
        <v>-2142500</v>
      </c>
      <c r="G59" s="23">
        <f t="shared" si="22"/>
        <v>6277500</v>
      </c>
      <c r="H59" s="25">
        <v>0</v>
      </c>
      <c r="I59" s="1">
        <v>0.75</v>
      </c>
      <c r="J59" s="135" t="s">
        <v>36</v>
      </c>
      <c r="K59" s="158">
        <f t="shared" si="12"/>
        <v>8370000</v>
      </c>
      <c r="L59" s="158">
        <f t="shared" si="13"/>
        <v>8420000</v>
      </c>
      <c r="M59" s="152">
        <f t="shared" si="14"/>
        <v>1.005973715651135</v>
      </c>
      <c r="N59" s="158">
        <f t="shared" si="15"/>
        <v>-50000</v>
      </c>
      <c r="O59" s="158">
        <f>'FY 2009 Exp 01-06-10'!C14</f>
        <v>8707782</v>
      </c>
      <c r="P59" s="158">
        <f>SUM('FY 2009 Exp 01-06-10'!F14:N14)</f>
        <v>8762345</v>
      </c>
      <c r="Q59" s="152">
        <f t="shared" si="16"/>
        <v>1.0062660043625347</v>
      </c>
      <c r="R59" s="158">
        <f>'FY 2009 Exp 01-06-10'!D14</f>
        <v>13464262</v>
      </c>
      <c r="S59" s="152">
        <f t="shared" si="17"/>
        <v>0.65078539024270321</v>
      </c>
      <c r="T59" s="159">
        <f t="shared" si="18"/>
        <v>-54563</v>
      </c>
      <c r="U59" s="158">
        <f>'FY 2008 Exp 01-06-10'!C14</f>
        <v>9046853</v>
      </c>
      <c r="V59" s="158">
        <f>SUM('FY 2008 Exp 01-06-10'!F14:N14)</f>
        <v>8086390</v>
      </c>
      <c r="W59" s="152">
        <f t="shared" si="19"/>
        <v>0.89383457429893021</v>
      </c>
      <c r="X59" s="158">
        <f>'FY 2008 Exp 01-06-10'!D14</f>
        <v>19089565</v>
      </c>
      <c r="Y59" s="152">
        <f t="shared" si="20"/>
        <v>0.42360263316633984</v>
      </c>
      <c r="Z59" s="159">
        <f t="shared" si="21"/>
        <v>960463</v>
      </c>
    </row>
    <row r="60" spans="1:26" ht="15.75" customHeight="1" thickBot="1">
      <c r="A60" s="220" t="s">
        <v>28</v>
      </c>
      <c r="B60" s="221"/>
      <c r="C60" s="20">
        <f>SUM(C49:C59)</f>
        <v>152858941</v>
      </c>
      <c r="D60" s="20">
        <f>SUM(D49:D59)</f>
        <v>105143099.74000001</v>
      </c>
      <c r="E60" s="12">
        <f t="shared" si="9"/>
        <v>0.68784396288601801</v>
      </c>
      <c r="F60" s="20">
        <f t="shared" si="10"/>
        <v>9501106.0099999905</v>
      </c>
      <c r="G60" s="23">
        <f t="shared" si="22"/>
        <v>114644205.75</v>
      </c>
      <c r="J60" s="107"/>
      <c r="K60" s="157">
        <f>SUM(K49:K59)</f>
        <v>152858941</v>
      </c>
      <c r="L60" s="157">
        <f>SUM(L49:L59)</f>
        <v>105143099.74000001</v>
      </c>
      <c r="M60" s="153">
        <f t="shared" si="14"/>
        <v>0.68784396288601801</v>
      </c>
      <c r="N60" s="157">
        <f>SUM(N49:N59)</f>
        <v>47715841.260000005</v>
      </c>
      <c r="O60" s="157">
        <f>SUM(O49:O59)</f>
        <v>150486607</v>
      </c>
      <c r="P60" s="157">
        <f>SUM(P49:P59)</f>
        <v>101801602.80000001</v>
      </c>
      <c r="Q60" s="153">
        <f t="shared" si="16"/>
        <v>0.67648281019453116</v>
      </c>
      <c r="R60" s="157">
        <f>SUM(R49:R59)</f>
        <v>154788048</v>
      </c>
      <c r="S60" s="153">
        <f t="shared" si="17"/>
        <v>0.65768387233618975</v>
      </c>
      <c r="T60" s="157">
        <f>SUM(T49:T59)</f>
        <v>48685004.199999996</v>
      </c>
      <c r="U60" s="157">
        <f>SUM(U49:U59)</f>
        <v>145532969</v>
      </c>
      <c r="V60" s="157">
        <f>SUM(V49:V59)</f>
        <v>97427775.030000001</v>
      </c>
      <c r="W60" s="153">
        <f t="shared" si="19"/>
        <v>0.66945500871352392</v>
      </c>
      <c r="X60" s="157">
        <f>SUM(X49:X59)</f>
        <v>155602576</v>
      </c>
      <c r="Y60" s="153">
        <f t="shared" si="20"/>
        <v>0.62613214725956723</v>
      </c>
      <c r="Z60" s="157">
        <f>SUM(Z49:Z59)</f>
        <v>48105193.969999991</v>
      </c>
    </row>
    <row r="61" spans="1:26" ht="13.5" thickTop="1"/>
  </sheetData>
  <mergeCells count="26">
    <mergeCell ref="A58:B58"/>
    <mergeCell ref="A19:B19"/>
    <mergeCell ref="A20:B20"/>
    <mergeCell ref="B3:D3"/>
    <mergeCell ref="A13:F13"/>
    <mergeCell ref="A16:B16"/>
    <mergeCell ref="A17:B17"/>
    <mergeCell ref="A18:B18"/>
    <mergeCell ref="A21:B21"/>
    <mergeCell ref="A22:B22"/>
    <mergeCell ref="A60:B60"/>
    <mergeCell ref="A14:F14"/>
    <mergeCell ref="A46:F46"/>
    <mergeCell ref="A55:B55"/>
    <mergeCell ref="A56:B56"/>
    <mergeCell ref="A57:B57"/>
    <mergeCell ref="A59:B59"/>
    <mergeCell ref="A51:B51"/>
    <mergeCell ref="A52:B52"/>
    <mergeCell ref="A53:B53"/>
    <mergeCell ref="A23:B23"/>
    <mergeCell ref="A24:B24"/>
    <mergeCell ref="A54:B54"/>
    <mergeCell ref="A48:B48"/>
    <mergeCell ref="A49:B49"/>
    <mergeCell ref="A50:B50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7" zoomScaleNormal="100" workbookViewId="0">
      <selection activeCell="L17" sqref="L17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bestFit="1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2.375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1.125" style="2" bestFit="1" customWidth="1"/>
    <col min="20" max="20" width="12.5" style="2" bestFit="1" customWidth="1"/>
    <col min="21" max="21" width="11.125" style="2" bestFit="1" customWidth="1"/>
    <col min="22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23</v>
      </c>
    </row>
    <row r="2" spans="1:21" ht="15.95" customHeight="1">
      <c r="E2" s="3"/>
      <c r="F2" s="3" t="s">
        <v>56</v>
      </c>
    </row>
    <row r="3" spans="1:21" ht="15.95" customHeight="1">
      <c r="B3" s="202" t="s">
        <v>43</v>
      </c>
      <c r="C3" s="202"/>
      <c r="D3" s="202"/>
      <c r="E3" s="3"/>
      <c r="F3" s="3" t="s">
        <v>57</v>
      </c>
    </row>
    <row r="4" spans="1:21" ht="15.95" customHeight="1">
      <c r="E4" s="3"/>
      <c r="F4" s="3" t="s">
        <v>58</v>
      </c>
    </row>
    <row r="5" spans="1:21" ht="15.95" customHeight="1">
      <c r="E5" s="3"/>
      <c r="F5" s="3" t="s">
        <v>24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38</v>
      </c>
      <c r="B8" s="7" t="s">
        <v>39</v>
      </c>
    </row>
    <row r="9" spans="1:21" ht="19.5" customHeight="1">
      <c r="A9" s="6" t="s">
        <v>40</v>
      </c>
      <c r="B9" s="7" t="s">
        <v>98</v>
      </c>
    </row>
    <row r="10" spans="1:21" ht="19.5" customHeight="1">
      <c r="A10" s="6" t="s">
        <v>41</v>
      </c>
      <c r="B10" s="8">
        <v>40283</v>
      </c>
    </row>
    <row r="11" spans="1:21" ht="19.5" customHeight="1">
      <c r="A11" s="6" t="s">
        <v>42</v>
      </c>
      <c r="B11" s="7" t="s">
        <v>137</v>
      </c>
    </row>
    <row r="12" spans="1:21" ht="19.5" customHeight="1">
      <c r="A12" s="6"/>
      <c r="B12" s="7"/>
    </row>
    <row r="13" spans="1:21" ht="50.1" customHeight="1">
      <c r="A13" s="212"/>
      <c r="B13" s="212"/>
      <c r="C13" s="212"/>
      <c r="D13" s="212"/>
      <c r="E13" s="212"/>
      <c r="F13" s="212"/>
    </row>
    <row r="14" spans="1:21" ht="31.5" customHeight="1">
      <c r="A14" s="213" t="s">
        <v>29</v>
      </c>
      <c r="B14" s="213"/>
      <c r="C14" s="213"/>
      <c r="D14" s="213"/>
      <c r="E14" s="213"/>
      <c r="F14" s="213"/>
    </row>
    <row r="15" spans="1:21">
      <c r="K15" s="134"/>
      <c r="L15" s="134"/>
      <c r="M15" s="134"/>
      <c r="N15" s="134"/>
    </row>
    <row r="16" spans="1:21" ht="38.25">
      <c r="A16" s="214"/>
      <c r="B16" s="214"/>
      <c r="C16" s="9" t="s">
        <v>99</v>
      </c>
      <c r="D16" s="9" t="s">
        <v>46</v>
      </c>
      <c r="E16" s="9" t="s">
        <v>25</v>
      </c>
      <c r="F16" s="9" t="s">
        <v>54</v>
      </c>
      <c r="G16" s="10">
        <v>0.5</v>
      </c>
      <c r="H16" s="2" t="s">
        <v>44</v>
      </c>
      <c r="I16" s="10">
        <v>0.5</v>
      </c>
      <c r="K16" s="9" t="s">
        <v>99</v>
      </c>
      <c r="L16" s="9" t="s">
        <v>109</v>
      </c>
      <c r="M16" s="9">
        <v>2010</v>
      </c>
      <c r="N16" s="9" t="s">
        <v>1</v>
      </c>
      <c r="O16" s="9" t="s">
        <v>125</v>
      </c>
      <c r="P16" s="9" t="s">
        <v>113</v>
      </c>
      <c r="Q16" s="9">
        <v>2009</v>
      </c>
      <c r="R16" s="9" t="s">
        <v>111</v>
      </c>
      <c r="S16" s="9" t="s">
        <v>126</v>
      </c>
      <c r="T16" s="9" t="s">
        <v>114</v>
      </c>
      <c r="U16" s="9">
        <v>2008</v>
      </c>
    </row>
    <row r="17" spans="1:21" ht="15.75" customHeight="1">
      <c r="A17" s="215" t="s">
        <v>26</v>
      </c>
      <c r="B17" s="215"/>
      <c r="C17" s="11">
        <f>'FY 2010 Rev as of 01-04-10'!D4</f>
        <v>130450730</v>
      </c>
      <c r="D17" s="11">
        <f>'FY2010 Rev as of 04-05-10'!C4</f>
        <v>125779425.78</v>
      </c>
      <c r="E17" s="12">
        <f t="shared" ref="E17:E24" si="0">(D17/C17)</f>
        <v>0.96419104576877412</v>
      </c>
      <c r="F17" s="29">
        <f t="shared" ref="F17:F23" si="1">D17-G17</f>
        <v>60554060.780000001</v>
      </c>
      <c r="G17" s="14">
        <f>C17*0.5</f>
        <v>65225365</v>
      </c>
      <c r="H17" s="15">
        <f t="shared" ref="H17:H23" si="2">C17-D17</f>
        <v>4671304.2199999988</v>
      </c>
      <c r="I17" s="10">
        <v>0.5</v>
      </c>
      <c r="J17" s="21" t="str">
        <f t="shared" ref="J17:J23" si="3">A17</f>
        <v>Current / Delinquent Taxes</v>
      </c>
      <c r="K17" s="11">
        <f t="shared" ref="K17:L23" si="4">C17</f>
        <v>130450730</v>
      </c>
      <c r="L17" s="11">
        <f t="shared" si="4"/>
        <v>125779425.78</v>
      </c>
      <c r="M17" s="12">
        <f t="shared" ref="M17:M24" si="5">(L17/K17)</f>
        <v>0.96419104576877412</v>
      </c>
      <c r="N17" s="11">
        <f>'FY 2009 Rev 01-04-10'!E3</f>
        <v>119221816</v>
      </c>
      <c r="O17" s="11">
        <f>SUM('FY 2009 Rev 01-04-10'!F3:K3)</f>
        <v>115778667.43000001</v>
      </c>
      <c r="P17" s="11">
        <f>'FY 2009 Rev 01-04-10'!D3</f>
        <v>119967823.45</v>
      </c>
      <c r="Q17" s="12">
        <f t="shared" ref="Q17:Q24" si="6">O17/P17</f>
        <v>0.96508100339299774</v>
      </c>
      <c r="R17" s="11">
        <f>'FY 2008 Rev 01-04-10'!E3</f>
        <v>106565989</v>
      </c>
      <c r="S17" s="11">
        <f>SUM('FY 2008 Rev 01-04-10'!F3:K3)</f>
        <v>112515307.53000002</v>
      </c>
      <c r="T17" s="11">
        <f>'FY 2008 Rev 01-04-10'!D3</f>
        <v>117399101.34999999</v>
      </c>
      <c r="U17" s="12">
        <f t="shared" ref="U17:U24" si="7">S17/T17</f>
        <v>0.95840007492527557</v>
      </c>
    </row>
    <row r="18" spans="1:21" ht="15.75" customHeight="1">
      <c r="A18" s="215" t="s">
        <v>102</v>
      </c>
      <c r="B18" s="215"/>
      <c r="C18" s="16">
        <f>'FY 2010 Rev as of 01-04-10'!D7</f>
        <v>4000</v>
      </c>
      <c r="D18" s="28">
        <f>'FY2010 Rev as of 04-05-10'!C7</f>
        <v>1500</v>
      </c>
      <c r="E18" s="12">
        <f t="shared" si="0"/>
        <v>0.375</v>
      </c>
      <c r="F18" s="22">
        <f t="shared" si="1"/>
        <v>-500</v>
      </c>
      <c r="G18" s="14">
        <f t="shared" ref="G18:G24" si="8">C18*0.5</f>
        <v>2000</v>
      </c>
      <c r="H18" s="15">
        <f t="shared" si="2"/>
        <v>2500</v>
      </c>
      <c r="I18" s="10">
        <v>0.5</v>
      </c>
      <c r="J18" s="21" t="str">
        <f t="shared" si="3"/>
        <v>License / Permits</v>
      </c>
      <c r="K18" s="16">
        <f t="shared" si="4"/>
        <v>4000</v>
      </c>
      <c r="L18" s="28">
        <f t="shared" si="4"/>
        <v>1500</v>
      </c>
      <c r="M18" s="12">
        <f t="shared" si="5"/>
        <v>0.375</v>
      </c>
      <c r="N18" s="28">
        <f>'FY 2009 Rev 01-04-10'!E6</f>
        <v>4000</v>
      </c>
      <c r="O18" s="28">
        <f>SUM('FY 2009 Rev 01-04-10'!F6:K6)</f>
        <v>2500</v>
      </c>
      <c r="P18" s="28">
        <f>'FY 2009 Rev 01-04-10'!D6</f>
        <v>4000</v>
      </c>
      <c r="Q18" s="12">
        <f t="shared" si="6"/>
        <v>0.625</v>
      </c>
      <c r="R18" s="28">
        <f>'FY 2008 Rev 01-04-10'!E6</f>
        <v>4200</v>
      </c>
      <c r="S18" s="28">
        <f>SUM('FY 2008 Rev 01-04-10'!F6:K6)</f>
        <v>2500</v>
      </c>
      <c r="T18" s="28">
        <f>'FY 2008 Rev 01-04-10'!D6</f>
        <v>4000</v>
      </c>
      <c r="U18" s="12">
        <f t="shared" si="7"/>
        <v>0.625</v>
      </c>
    </row>
    <row r="19" spans="1:21" ht="15.75" customHeight="1">
      <c r="A19" s="215" t="s">
        <v>55</v>
      </c>
      <c r="B19" s="215"/>
      <c r="C19" s="16">
        <f>'FY 2010 Rev as of 01-04-10'!D12</f>
        <v>3547135</v>
      </c>
      <c r="D19" s="28">
        <f>'FY2010 Rev as of 04-05-10'!C12</f>
        <v>924045.65999999992</v>
      </c>
      <c r="E19" s="12">
        <f t="shared" si="0"/>
        <v>0.2605047904858428</v>
      </c>
      <c r="F19" s="22">
        <f t="shared" si="1"/>
        <v>-849521.84000000008</v>
      </c>
      <c r="G19" s="14">
        <f t="shared" si="8"/>
        <v>1773567.5</v>
      </c>
      <c r="H19" s="27">
        <f t="shared" si="2"/>
        <v>2623089.34</v>
      </c>
      <c r="I19" s="10">
        <v>0.5</v>
      </c>
      <c r="J19" s="21" t="str">
        <f t="shared" si="3"/>
        <v>Intergovernmental Revenue</v>
      </c>
      <c r="K19" s="16">
        <f t="shared" si="4"/>
        <v>3547135</v>
      </c>
      <c r="L19" s="28">
        <f t="shared" si="4"/>
        <v>924045.65999999992</v>
      </c>
      <c r="M19" s="12">
        <f t="shared" si="5"/>
        <v>0.2605047904858428</v>
      </c>
      <c r="N19" s="28">
        <f>'FY 2009 Rev 01-04-10'!E11</f>
        <v>3678780</v>
      </c>
      <c r="O19" s="28">
        <f>SUM('FY 2009 Rev 01-04-10'!F11:K11)</f>
        <v>1118300.8699999999</v>
      </c>
      <c r="P19" s="28">
        <f>'FY 2009 Rev 01-04-10'!D11</f>
        <v>3992954.02</v>
      </c>
      <c r="Q19" s="12">
        <f t="shared" si="6"/>
        <v>0.28006855686257059</v>
      </c>
      <c r="R19" s="28">
        <f>'FY 2008 Rev 01-04-10'!E11</f>
        <v>3079080</v>
      </c>
      <c r="S19" s="28">
        <f>SUM('FY 2008 Rev 01-04-10'!F11:K11)</f>
        <v>1231502.01</v>
      </c>
      <c r="T19" s="28">
        <f>'FY 2008 Rev 01-04-10'!D11</f>
        <v>3979230.29</v>
      </c>
      <c r="U19" s="12">
        <f t="shared" si="7"/>
        <v>0.30948246777645028</v>
      </c>
    </row>
    <row r="20" spans="1:21" ht="15.75" customHeight="1">
      <c r="A20" s="215" t="s">
        <v>2</v>
      </c>
      <c r="B20" s="215"/>
      <c r="C20" s="16">
        <f>'FY 2010 Rev as of 01-04-10'!D19</f>
        <v>16957104</v>
      </c>
      <c r="D20" s="28">
        <f>'FY2010 Rev as of 04-05-10'!C19</f>
        <v>6279401.1600000001</v>
      </c>
      <c r="E20" s="12">
        <f t="shared" si="0"/>
        <v>0.37031094224579858</v>
      </c>
      <c r="F20" s="22">
        <f t="shared" si="1"/>
        <v>-2199150.84</v>
      </c>
      <c r="G20" s="14">
        <f t="shared" si="8"/>
        <v>8478552</v>
      </c>
      <c r="H20" s="27">
        <f t="shared" si="2"/>
        <v>10677702.84</v>
      </c>
      <c r="I20" s="10">
        <v>0.5</v>
      </c>
      <c r="J20" s="21" t="str">
        <f t="shared" si="3"/>
        <v>Fees/Charges for Services</v>
      </c>
      <c r="K20" s="16">
        <f t="shared" si="4"/>
        <v>16957104</v>
      </c>
      <c r="L20" s="28">
        <f t="shared" si="4"/>
        <v>6279401.1600000001</v>
      </c>
      <c r="M20" s="12">
        <f t="shared" si="5"/>
        <v>0.37031094224579858</v>
      </c>
      <c r="N20" s="28">
        <f>'FY 2009 Rev 01-04-10'!E18</f>
        <v>19143500</v>
      </c>
      <c r="O20" s="28">
        <f>SUM('FY 2009 Rev 01-04-10'!F18:K18)</f>
        <v>7820701.9600000009</v>
      </c>
      <c r="P20" s="28">
        <f>'FY 2009 Rev 01-04-10'!D18</f>
        <v>15850676.109999999</v>
      </c>
      <c r="Q20" s="12">
        <f t="shared" si="6"/>
        <v>0.49339863522074084</v>
      </c>
      <c r="R20" s="28">
        <f>'FY 2008 Rev 01-04-10'!E18</f>
        <v>16631625</v>
      </c>
      <c r="S20" s="28">
        <f>SUM('FY 2008 Rev 01-04-10'!F18:K18)</f>
        <v>8448283.6899999995</v>
      </c>
      <c r="T20" s="28">
        <f>'FY 2008 Rev 01-04-10'!D18</f>
        <v>15930660.34</v>
      </c>
      <c r="U20" s="12">
        <f t="shared" si="7"/>
        <v>0.53031597621771898</v>
      </c>
    </row>
    <row r="21" spans="1:21" ht="15.75" customHeight="1">
      <c r="A21" s="215" t="s">
        <v>4</v>
      </c>
      <c r="B21" s="215"/>
      <c r="C21" s="16">
        <f>'FY 2010 Rev as of 01-04-10'!D21</f>
        <v>2301020</v>
      </c>
      <c r="D21" s="28">
        <f>'FY2010 Rev as of 04-05-10'!C21</f>
        <v>699335.52</v>
      </c>
      <c r="E21" s="12">
        <f t="shared" si="0"/>
        <v>0.30392413799097795</v>
      </c>
      <c r="F21" s="22">
        <f t="shared" si="1"/>
        <v>-451174.48</v>
      </c>
      <c r="G21" s="14">
        <f t="shared" si="8"/>
        <v>1150510</v>
      </c>
      <c r="H21" s="27">
        <f t="shared" si="2"/>
        <v>1601684.48</v>
      </c>
      <c r="I21" s="10">
        <v>0.5</v>
      </c>
      <c r="J21" s="21" t="str">
        <f t="shared" si="3"/>
        <v>Fines</v>
      </c>
      <c r="K21" s="16">
        <f t="shared" si="4"/>
        <v>2301020</v>
      </c>
      <c r="L21" s="28">
        <f t="shared" si="4"/>
        <v>699335.52</v>
      </c>
      <c r="M21" s="12">
        <f t="shared" si="5"/>
        <v>0.30392413799097795</v>
      </c>
      <c r="N21" s="28">
        <f>'FY 2009 Rev 01-04-10'!E20</f>
        <v>2771000</v>
      </c>
      <c r="O21" s="28">
        <f>SUM('FY 2009 Rev 01-04-10'!F20:K20)</f>
        <v>1071708.48</v>
      </c>
      <c r="P21" s="28">
        <f>'FY 2009 Rev 01-04-10'!D20</f>
        <v>2270389.13</v>
      </c>
      <c r="Q21" s="12">
        <f t="shared" si="6"/>
        <v>0.47203735511189665</v>
      </c>
      <c r="R21" s="28">
        <f>'FY 2008 Rev 01-04-10'!E20</f>
        <v>2967500</v>
      </c>
      <c r="S21" s="28">
        <f>SUM('FY 2008 Rev 01-04-10'!F20:K20)</f>
        <v>1235771.03</v>
      </c>
      <c r="T21" s="28">
        <f>'FY 2008 Rev 01-04-10'!D20</f>
        <v>2688475.7</v>
      </c>
      <c r="U21" s="12">
        <f t="shared" si="7"/>
        <v>0.45965490035859352</v>
      </c>
    </row>
    <row r="22" spans="1:21" ht="15.75" customHeight="1">
      <c r="A22" s="215" t="s">
        <v>3</v>
      </c>
      <c r="B22" s="215"/>
      <c r="C22" s="16">
        <f>'FY 2010 Rev as of 01-04-10'!D24</f>
        <v>3133290</v>
      </c>
      <c r="D22" s="28">
        <f>'FY2010 Rev as of 04-05-10'!C24</f>
        <v>454566.44</v>
      </c>
      <c r="E22" s="12">
        <f t="shared" si="0"/>
        <v>0.14507640212045486</v>
      </c>
      <c r="F22" s="22">
        <f t="shared" si="1"/>
        <v>-1112078.56</v>
      </c>
      <c r="G22" s="14">
        <f t="shared" si="8"/>
        <v>1566645</v>
      </c>
      <c r="H22" s="27">
        <f t="shared" si="2"/>
        <v>2678723.56</v>
      </c>
      <c r="I22" s="10">
        <v>0.5</v>
      </c>
      <c r="J22" s="21" t="str">
        <f t="shared" si="3"/>
        <v>Investment Revenue</v>
      </c>
      <c r="K22" s="16">
        <f t="shared" si="4"/>
        <v>3133290</v>
      </c>
      <c r="L22" s="28">
        <f t="shared" si="4"/>
        <v>454566.44</v>
      </c>
      <c r="M22" s="12">
        <f t="shared" si="5"/>
        <v>0.14507640212045486</v>
      </c>
      <c r="N22" s="28">
        <f>'FY 2009 Rev 01-04-10'!E23</f>
        <v>5168400</v>
      </c>
      <c r="O22" s="28">
        <f>SUM('FY 2009 Rev 01-04-10'!F23:K23)</f>
        <v>1650946.07</v>
      </c>
      <c r="P22" s="28">
        <f>'FY 2009 Rev 01-04-10'!D23</f>
        <v>3039255.96</v>
      </c>
      <c r="Q22" s="12">
        <f t="shared" si="6"/>
        <v>0.54320731512195508</v>
      </c>
      <c r="R22" s="28">
        <f>'FY 2008 Rev 01-04-10'!E23</f>
        <v>6994800</v>
      </c>
      <c r="S22" s="28">
        <f>SUM('FY 2008 Rev 01-04-10'!F23:K23)</f>
        <v>3218552.15</v>
      </c>
      <c r="T22" s="28">
        <f>'FY 2008 Rev 01-04-10'!D23</f>
        <v>6575786.3600000003</v>
      </c>
      <c r="U22" s="12">
        <f t="shared" si="7"/>
        <v>0.48945509689581823</v>
      </c>
    </row>
    <row r="23" spans="1:21" ht="15.75" customHeight="1" thickBot="1">
      <c r="A23" s="215" t="s">
        <v>27</v>
      </c>
      <c r="B23" s="215"/>
      <c r="C23" s="16">
        <f>'FY 2010 Rev as of 01-04-10'!D26+'FY 2010 Rev as of 01-04-10'!D30+'FY 2010 Rev as of 01-04-10'!D33</f>
        <v>564135</v>
      </c>
      <c r="D23" s="16">
        <f>'FY2010 Rev as of 04-05-10'!C26+'FY2010 Rev as of 04-05-10'!C30+'FY2010 Rev as of 04-05-10'!C33</f>
        <v>346466.67</v>
      </c>
      <c r="E23" s="12">
        <f t="shared" si="0"/>
        <v>0.61415560105293943</v>
      </c>
      <c r="F23" s="22">
        <f t="shared" si="1"/>
        <v>64399.169999999984</v>
      </c>
      <c r="G23" s="14">
        <f t="shared" si="8"/>
        <v>282067.5</v>
      </c>
      <c r="H23" s="27">
        <f t="shared" si="2"/>
        <v>217668.33000000002</v>
      </c>
      <c r="I23" s="10">
        <v>0.5</v>
      </c>
      <c r="J23" s="21" t="str">
        <f t="shared" si="3"/>
        <v>Miscellaneous</v>
      </c>
      <c r="K23" s="117">
        <f t="shared" si="4"/>
        <v>564135</v>
      </c>
      <c r="L23" s="118">
        <f t="shared" si="4"/>
        <v>346466.67</v>
      </c>
      <c r="M23" s="152">
        <f t="shared" si="5"/>
        <v>0.61415560105293943</v>
      </c>
      <c r="N23" s="118">
        <f>'FY 2009 Rev 01-04-10'!E25+'FY 2009 Rev 01-04-10'!E29+'FY 2009 Rev 01-04-10'!E32</f>
        <v>499810</v>
      </c>
      <c r="O23" s="118">
        <f>SUM('FY 2009 Rev 01-04-10'!F25:K25,'FY 2009 Rev 01-04-10'!F29:K29,'FY 2009 Rev 01-04-10'!F32:K32)</f>
        <v>341593.39</v>
      </c>
      <c r="P23" s="118">
        <f>'FY 2009 Rev 01-04-10'!D25+'FY 2009 Rev 01-04-10'!D29+'FY 2009 Rev 01-04-10'!D32</f>
        <v>837358.54999999993</v>
      </c>
      <c r="Q23" s="152">
        <f t="shared" si="6"/>
        <v>0.40794160398792134</v>
      </c>
      <c r="R23" s="118">
        <f>'FY 2008 Rev 01-04-10'!E25+'FY 2008 Rev 01-04-10'!E29+'FY 2008 Rev 01-04-10'!E32</f>
        <v>500000</v>
      </c>
      <c r="S23" s="118">
        <f>SUM('FY 2008 Rev 01-04-10'!F25:K25,'FY 2008 Rev 01-04-10'!F29:K29,'FY 2008 Rev 01-04-10'!F32:K32)</f>
        <v>253722.50000000003</v>
      </c>
      <c r="T23" s="118">
        <f>'FY 2008 Rev 01-04-10'!D25+'FY 2008 Rev 01-04-10'!D29+'FY 2008 Rev 01-04-10'!D32</f>
        <v>2058982.75</v>
      </c>
      <c r="U23" s="152">
        <f t="shared" si="7"/>
        <v>0.12322711300033963</v>
      </c>
    </row>
    <row r="24" spans="1:21" ht="15.75" customHeight="1" thickBot="1">
      <c r="A24" s="216" t="s">
        <v>28</v>
      </c>
      <c r="B24" s="216"/>
      <c r="C24" s="11">
        <f>SUM(C17:C23)</f>
        <v>156957414</v>
      </c>
      <c r="D24" s="11">
        <f>SUM(D17:D23)</f>
        <v>134484741.22999999</v>
      </c>
      <c r="E24" s="12">
        <f t="shared" si="0"/>
        <v>0.85682312037837216</v>
      </c>
      <c r="F24" s="17">
        <f>SUM(F17:F23)</f>
        <v>56006034.229999997</v>
      </c>
      <c r="G24" s="14">
        <f t="shared" si="8"/>
        <v>78478707</v>
      </c>
      <c r="H24" s="27"/>
      <c r="J24" s="21"/>
      <c r="K24" s="116">
        <f>SUM(K17:K23)</f>
        <v>156957414</v>
      </c>
      <c r="L24" s="116">
        <f>SUM(L17:L23)</f>
        <v>134484741.22999999</v>
      </c>
      <c r="M24" s="153">
        <f t="shared" si="5"/>
        <v>0.85682312037837216</v>
      </c>
      <c r="N24" s="116">
        <f>SUM(N17:N23)</f>
        <v>150487306</v>
      </c>
      <c r="O24" s="116">
        <f>SUM(O17:O23)</f>
        <v>127784418.20000002</v>
      </c>
      <c r="P24" s="116">
        <f>SUM(P17:P23)</f>
        <v>145962457.22</v>
      </c>
      <c r="Q24" s="153">
        <f t="shared" si="6"/>
        <v>0.87546085913995431</v>
      </c>
      <c r="R24" s="116">
        <f>SUM(R17:R23)</f>
        <v>136743194</v>
      </c>
      <c r="S24" s="116">
        <f>SUM(S17:S23)</f>
        <v>126905638.91000003</v>
      </c>
      <c r="T24" s="116">
        <f>SUM(T17:T23)</f>
        <v>148636236.78999999</v>
      </c>
      <c r="U24" s="153">
        <f t="shared" si="7"/>
        <v>0.85380013414426026</v>
      </c>
    </row>
    <row r="25" spans="1:21" ht="22.5" customHeight="1" thickTop="1">
      <c r="J25" s="21"/>
      <c r="K25" s="26"/>
    </row>
    <row r="26" spans="1:21">
      <c r="J26" s="21"/>
      <c r="K26" s="26"/>
    </row>
    <row r="40" spans="1:26">
      <c r="J40" s="135"/>
      <c r="K40" s="135"/>
    </row>
    <row r="41" spans="1:26">
      <c r="J41" s="135"/>
      <c r="K41" s="135"/>
    </row>
    <row r="42" spans="1:26">
      <c r="J42" s="135"/>
      <c r="K42" s="135"/>
    </row>
    <row r="43" spans="1:26">
      <c r="J43" s="135"/>
      <c r="K43" s="135"/>
    </row>
    <row r="44" spans="1:26">
      <c r="J44" s="135"/>
      <c r="K44" s="135"/>
    </row>
    <row r="45" spans="1:26">
      <c r="J45" s="135"/>
      <c r="K45" s="135"/>
    </row>
    <row r="46" spans="1:26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26" ht="12" customHeight="1">
      <c r="B47" s="18"/>
      <c r="C47" s="18"/>
      <c r="D47" s="18"/>
      <c r="E47" s="18"/>
      <c r="J47" s="135"/>
      <c r="K47" s="135"/>
    </row>
    <row r="48" spans="1:26" ht="36" customHeight="1">
      <c r="A48" s="217"/>
      <c r="B48" s="217"/>
      <c r="C48" s="19" t="s">
        <v>99</v>
      </c>
      <c r="D48" s="19" t="s">
        <v>47</v>
      </c>
      <c r="E48" s="19" t="s">
        <v>25</v>
      </c>
      <c r="F48" s="9" t="s">
        <v>54</v>
      </c>
      <c r="G48" s="10">
        <v>0.5</v>
      </c>
      <c r="H48" s="2" t="s">
        <v>45</v>
      </c>
      <c r="I48" s="10">
        <v>0.5</v>
      </c>
      <c r="K48" s="154" t="s">
        <v>99</v>
      </c>
      <c r="L48" s="150" t="s">
        <v>115</v>
      </c>
      <c r="M48" s="151">
        <v>2010</v>
      </c>
      <c r="N48" s="150" t="s">
        <v>116</v>
      </c>
      <c r="O48" s="150" t="s">
        <v>1</v>
      </c>
      <c r="P48" s="150" t="s">
        <v>127</v>
      </c>
      <c r="Q48" s="151">
        <v>2009</v>
      </c>
      <c r="R48" s="150" t="s">
        <v>118</v>
      </c>
      <c r="S48" s="150">
        <v>2009</v>
      </c>
      <c r="T48" s="150" t="s">
        <v>119</v>
      </c>
      <c r="U48" s="150" t="s">
        <v>111</v>
      </c>
      <c r="V48" s="150" t="s">
        <v>128</v>
      </c>
      <c r="W48" s="151">
        <v>2008</v>
      </c>
      <c r="X48" s="150" t="s">
        <v>121</v>
      </c>
      <c r="Y48" s="150">
        <v>2008</v>
      </c>
      <c r="Z48" s="150" t="s">
        <v>122</v>
      </c>
    </row>
    <row r="49" spans="1:26" ht="15.75" customHeight="1">
      <c r="A49" s="218" t="s">
        <v>30</v>
      </c>
      <c r="B49" s="219"/>
      <c r="C49" s="11">
        <f>'FY 2010 Exp as of 01-06-10'!C2</f>
        <v>302496</v>
      </c>
      <c r="D49" s="11">
        <f>'FY2010 Exp as of 04-05-10'!E2</f>
        <v>136994.62</v>
      </c>
      <c r="E49" s="12">
        <f t="shared" ref="E49:E60" si="9">(D49/C49)</f>
        <v>0.45288076536549243</v>
      </c>
      <c r="F49" s="11">
        <f>G49-D49</f>
        <v>14253.380000000005</v>
      </c>
      <c r="G49" s="23">
        <f>C49*0.5</f>
        <v>151248</v>
      </c>
      <c r="H49" s="24">
        <f t="shared" ref="H49:H59" si="10">C49-D49</f>
        <v>165501.38</v>
      </c>
      <c r="I49" s="1">
        <v>0.5</v>
      </c>
      <c r="J49" s="135" t="s">
        <v>30</v>
      </c>
      <c r="K49" s="13">
        <f t="shared" ref="K49:K59" si="11">C49</f>
        <v>302496</v>
      </c>
      <c r="L49" s="13">
        <f t="shared" ref="L49:L59" si="12">D49</f>
        <v>136994.62</v>
      </c>
      <c r="M49" s="155">
        <f t="shared" ref="M49:M60" si="13">(L49/K49)</f>
        <v>0.45288076536549243</v>
      </c>
      <c r="N49" s="13">
        <f t="shared" ref="N49:N59" si="14">K49-L49</f>
        <v>165501.38</v>
      </c>
      <c r="O49" s="13">
        <f>'FY 2009 Exp 01-06-10'!C2</f>
        <v>307595</v>
      </c>
      <c r="P49" s="13">
        <f>SUM('FY 2009 Exp 01-06-10'!F2:K2)</f>
        <v>128584.43000000001</v>
      </c>
      <c r="Q49" s="155">
        <f t="shared" ref="Q49:Q60" si="15">P49/O49</f>
        <v>0.41803159999349798</v>
      </c>
      <c r="R49" s="13">
        <f>'FY 2009 Exp 01-06-10'!D2</f>
        <v>307595</v>
      </c>
      <c r="S49" s="155">
        <f t="shared" ref="S49:S60" si="16">P49/R49</f>
        <v>0.41803159999349798</v>
      </c>
      <c r="T49" s="13">
        <f t="shared" ref="T49:T59" si="17">O49-P49</f>
        <v>179010.57</v>
      </c>
      <c r="U49" s="13">
        <f>'FY 2008 Exp 01-06-10'!C2</f>
        <v>326242</v>
      </c>
      <c r="V49" s="13">
        <f>SUM('FY 2008 Exp 01-06-10'!F2:K2)</f>
        <v>137775.82</v>
      </c>
      <c r="W49" s="155">
        <f t="shared" ref="W49:W60" si="18">V49/U49</f>
        <v>0.4223117195210917</v>
      </c>
      <c r="X49" s="13">
        <f>'FY 2008 Exp 01-06-10'!D2</f>
        <v>326266</v>
      </c>
      <c r="Y49" s="155">
        <f t="shared" ref="Y49:Y60" si="19">V49/X49</f>
        <v>0.42228065443533808</v>
      </c>
      <c r="Z49" s="13">
        <f t="shared" ref="Z49:Z59" si="20">U49-V49</f>
        <v>188466.18</v>
      </c>
    </row>
    <row r="50" spans="1:26" ht="15.75" customHeight="1">
      <c r="A50" s="218" t="s">
        <v>123</v>
      </c>
      <c r="B50" s="219"/>
      <c r="C50" s="11">
        <f>'FY 2010 Exp as of 01-06-10'!C3</f>
        <v>411370</v>
      </c>
      <c r="D50" s="11">
        <f>'FY2010 Exp as of 04-05-10'!E3</f>
        <v>289019.63</v>
      </c>
      <c r="E50" s="12">
        <f t="shared" si="9"/>
        <v>0.70257828718671755</v>
      </c>
      <c r="F50" s="28">
        <f>G50-D50</f>
        <v>-83334.63</v>
      </c>
      <c r="G50" s="23">
        <f t="shared" ref="G50:G60" si="21">C50*0.5</f>
        <v>205685</v>
      </c>
      <c r="H50" s="25">
        <f t="shared" si="10"/>
        <v>122350.37</v>
      </c>
      <c r="I50" s="1">
        <v>0.5</v>
      </c>
      <c r="J50" s="135" t="s">
        <v>123</v>
      </c>
      <c r="K50" s="156">
        <f t="shared" si="11"/>
        <v>411370</v>
      </c>
      <c r="L50" s="156">
        <f t="shared" si="12"/>
        <v>289019.63</v>
      </c>
      <c r="M50" s="155">
        <f t="shared" si="13"/>
        <v>0.70257828718671755</v>
      </c>
      <c r="N50" s="156">
        <f t="shared" si="14"/>
        <v>122350.37</v>
      </c>
      <c r="O50" s="156">
        <f>'FY 2009 Exp 01-06-10'!C3</f>
        <v>510370</v>
      </c>
      <c r="P50" s="156">
        <f>SUM('FY 2009 Exp 01-06-10'!F3:K3)</f>
        <v>336446.91</v>
      </c>
      <c r="Q50" s="155">
        <f t="shared" si="15"/>
        <v>0.65922156474714422</v>
      </c>
      <c r="R50" s="156">
        <f>'FY 2009 Exp 01-06-10'!D3</f>
        <v>575162</v>
      </c>
      <c r="S50" s="155">
        <f t="shared" si="16"/>
        <v>0.58496025467607382</v>
      </c>
      <c r="T50" s="13">
        <f t="shared" si="17"/>
        <v>173923.09000000003</v>
      </c>
      <c r="U50" s="156">
        <f>'FY 2008 Exp 01-06-10'!C3</f>
        <v>461110</v>
      </c>
      <c r="V50" s="156">
        <f>SUM('FY 2008 Exp 01-06-10'!F3:K3)</f>
        <v>304413.27</v>
      </c>
      <c r="W50" s="155">
        <f t="shared" si="18"/>
        <v>0.66017494740951188</v>
      </c>
      <c r="X50" s="156">
        <f>'FY 2008 Exp 01-06-10'!D3</f>
        <v>497765</v>
      </c>
      <c r="Y50" s="155">
        <f t="shared" si="19"/>
        <v>0.61156021415728312</v>
      </c>
      <c r="Z50" s="13">
        <f t="shared" si="20"/>
        <v>156696.72999999998</v>
      </c>
    </row>
    <row r="51" spans="1:26" ht="15.75" customHeight="1">
      <c r="A51" s="218" t="s">
        <v>31</v>
      </c>
      <c r="B51" s="219"/>
      <c r="C51" s="11">
        <f>'FY 2010 Exp as of 01-06-10'!C5</f>
        <v>3263326</v>
      </c>
      <c r="D51" s="11">
        <f>'FY2010 Exp as of 04-05-10'!E5</f>
        <v>1521774.66</v>
      </c>
      <c r="E51" s="12">
        <f t="shared" si="9"/>
        <v>0.46632627570766755</v>
      </c>
      <c r="F51" s="28">
        <f t="shared" ref="F51:F60" si="22">G51-D51</f>
        <v>109888.34000000008</v>
      </c>
      <c r="G51" s="23">
        <f t="shared" si="21"/>
        <v>1631663</v>
      </c>
      <c r="H51" s="25">
        <f t="shared" si="10"/>
        <v>1741551.34</v>
      </c>
      <c r="I51" s="1">
        <v>0.5</v>
      </c>
      <c r="J51" s="135" t="s">
        <v>31</v>
      </c>
      <c r="K51" s="156">
        <f t="shared" si="11"/>
        <v>3263326</v>
      </c>
      <c r="L51" s="156">
        <f t="shared" si="12"/>
        <v>1521774.66</v>
      </c>
      <c r="M51" s="155">
        <f t="shared" si="13"/>
        <v>0.46632627570766755</v>
      </c>
      <c r="N51" s="156">
        <f t="shared" si="14"/>
        <v>1741551.34</v>
      </c>
      <c r="O51" s="156">
        <f>'FY 2009 Exp 01-06-10'!C5</f>
        <v>3360551</v>
      </c>
      <c r="P51" s="156">
        <f>SUM('FY 2009 Exp 01-06-10'!F5:K5)</f>
        <v>1517439.4300000002</v>
      </c>
      <c r="Q51" s="155">
        <f t="shared" si="15"/>
        <v>0.45154482999960427</v>
      </c>
      <c r="R51" s="156">
        <f>'FY 2009 Exp 01-06-10'!D5</f>
        <v>3258569</v>
      </c>
      <c r="S51" s="155">
        <f t="shared" si="16"/>
        <v>0.46567662983352515</v>
      </c>
      <c r="T51" s="13">
        <f t="shared" si="17"/>
        <v>1843111.5699999998</v>
      </c>
      <c r="U51" s="156">
        <f>'FY 2008 Exp 01-06-10'!C5</f>
        <v>2433415</v>
      </c>
      <c r="V51" s="156">
        <f>SUM('FY 2008 Exp 01-06-10'!F5:K5)</f>
        <v>1357706.9300000002</v>
      </c>
      <c r="W51" s="155">
        <f t="shared" si="18"/>
        <v>0.55794302656965633</v>
      </c>
      <c r="X51" s="156">
        <f>'FY 2008 Exp 01-06-10'!D5</f>
        <v>3116351</v>
      </c>
      <c r="Y51" s="155">
        <f t="shared" si="19"/>
        <v>0.43567201833169633</v>
      </c>
      <c r="Z51" s="13">
        <f t="shared" si="20"/>
        <v>1075708.0699999998</v>
      </c>
    </row>
    <row r="52" spans="1:26" ht="15.75" customHeight="1">
      <c r="A52" s="218" t="s">
        <v>15</v>
      </c>
      <c r="B52" s="219"/>
      <c r="C52" s="11">
        <f>'FY 2010 Exp as of 01-06-10'!C6</f>
        <v>10604579</v>
      </c>
      <c r="D52" s="11">
        <f>'FY2010 Exp as of 04-05-10'!E6</f>
        <v>5308214.72</v>
      </c>
      <c r="E52" s="12">
        <f t="shared" si="9"/>
        <v>0.50055874165301606</v>
      </c>
      <c r="F52" s="28">
        <f t="shared" si="22"/>
        <v>-5925.2199999997392</v>
      </c>
      <c r="G52" s="23">
        <f t="shared" si="21"/>
        <v>5302289.5</v>
      </c>
      <c r="H52" s="25">
        <f t="shared" si="10"/>
        <v>5296364.28</v>
      </c>
      <c r="I52" s="1">
        <v>0.5</v>
      </c>
      <c r="J52" s="135" t="s">
        <v>15</v>
      </c>
      <c r="K52" s="156">
        <f t="shared" si="11"/>
        <v>10604579</v>
      </c>
      <c r="L52" s="156">
        <f t="shared" si="12"/>
        <v>5308214.72</v>
      </c>
      <c r="M52" s="155">
        <f t="shared" si="13"/>
        <v>0.50055874165301606</v>
      </c>
      <c r="N52" s="156">
        <f t="shared" si="14"/>
        <v>5296364.28</v>
      </c>
      <c r="O52" s="156">
        <f>'FY 2009 Exp 01-06-10'!C6</f>
        <v>10906229</v>
      </c>
      <c r="P52" s="156">
        <f>SUM('FY 2009 Exp 01-06-10'!F6:K6)</f>
        <v>5148824.4700000007</v>
      </c>
      <c r="Q52" s="155">
        <f t="shared" si="15"/>
        <v>0.47209942776737962</v>
      </c>
      <c r="R52" s="156">
        <f>'FY 2009 Exp 01-06-10'!D6</f>
        <v>11732575</v>
      </c>
      <c r="S52" s="155">
        <f t="shared" si="16"/>
        <v>0.43884863041574423</v>
      </c>
      <c r="T52" s="13">
        <f t="shared" si="17"/>
        <v>5757404.5299999993</v>
      </c>
      <c r="U52" s="156">
        <f>'FY 2008 Exp 01-06-10'!C6</f>
        <v>9925189</v>
      </c>
      <c r="V52" s="156">
        <f>SUM('FY 2008 Exp 01-06-10'!F6:K6)</f>
        <v>5097103.41</v>
      </c>
      <c r="W52" s="155">
        <f t="shared" si="18"/>
        <v>0.5135522769390084</v>
      </c>
      <c r="X52" s="156">
        <f>'FY 2008 Exp 01-06-10'!D6</f>
        <v>10190881</v>
      </c>
      <c r="Y52" s="155">
        <f t="shared" si="19"/>
        <v>0.50016317627494622</v>
      </c>
      <c r="Z52" s="13">
        <f t="shared" si="20"/>
        <v>4828085.59</v>
      </c>
    </row>
    <row r="53" spans="1:26" ht="15.75" customHeight="1">
      <c r="A53" s="218" t="s">
        <v>14</v>
      </c>
      <c r="B53" s="219"/>
      <c r="C53" s="11">
        <f>'FY 2010 Exp as of 01-06-10'!C7</f>
        <v>36033186</v>
      </c>
      <c r="D53" s="11">
        <f>'FY2010 Exp as of 04-05-10'!E7</f>
        <v>11063278.310000001</v>
      </c>
      <c r="E53" s="12">
        <f t="shared" si="9"/>
        <v>0.30703025566487518</v>
      </c>
      <c r="F53" s="28">
        <f t="shared" si="22"/>
        <v>6953314.6899999995</v>
      </c>
      <c r="G53" s="23">
        <f t="shared" si="21"/>
        <v>18016593</v>
      </c>
      <c r="H53" s="25">
        <f t="shared" si="10"/>
        <v>24969907.689999998</v>
      </c>
      <c r="I53" s="1">
        <v>0.5</v>
      </c>
      <c r="J53" s="135" t="s">
        <v>14</v>
      </c>
      <c r="K53" s="156">
        <f t="shared" si="11"/>
        <v>36033186</v>
      </c>
      <c r="L53" s="156">
        <f t="shared" si="12"/>
        <v>11063278.310000001</v>
      </c>
      <c r="M53" s="155">
        <f t="shared" si="13"/>
        <v>0.30703025566487518</v>
      </c>
      <c r="N53" s="156">
        <f t="shared" si="14"/>
        <v>24969907.689999998</v>
      </c>
      <c r="O53" s="156">
        <f>'FY 2009 Exp 01-06-10'!C7</f>
        <v>34955768</v>
      </c>
      <c r="P53" s="156">
        <f>SUM('FY 2009 Exp 01-06-10'!F7:K7)</f>
        <v>12937997.109999999</v>
      </c>
      <c r="Q53" s="155">
        <f t="shared" si="15"/>
        <v>0.37012481344995768</v>
      </c>
      <c r="R53" s="156">
        <f>'FY 2009 Exp 01-06-10'!D7</f>
        <v>31765451</v>
      </c>
      <c r="S53" s="155">
        <f t="shared" si="16"/>
        <v>0.40729776227638004</v>
      </c>
      <c r="T53" s="13">
        <f t="shared" si="17"/>
        <v>22017770.890000001</v>
      </c>
      <c r="U53" s="156">
        <f>'FY 2008 Exp 01-06-10'!C7</f>
        <v>33931130</v>
      </c>
      <c r="V53" s="156">
        <f>SUM('FY 2008 Exp 01-06-10'!F7:K7)</f>
        <v>8682749.5</v>
      </c>
      <c r="W53" s="155">
        <f t="shared" si="18"/>
        <v>0.25589331979217905</v>
      </c>
      <c r="X53" s="156">
        <f>'FY 2008 Exp 01-06-10'!D7</f>
        <v>30400731</v>
      </c>
      <c r="Y53" s="155">
        <f t="shared" si="19"/>
        <v>0.28560989207792403</v>
      </c>
      <c r="Z53" s="13">
        <f t="shared" si="20"/>
        <v>25248380.5</v>
      </c>
    </row>
    <row r="54" spans="1:26" ht="15.75" customHeight="1">
      <c r="A54" s="218" t="s">
        <v>124</v>
      </c>
      <c r="B54" s="219"/>
      <c r="C54" s="11">
        <f>'FY 2010 Exp as of 01-06-10'!C8</f>
        <v>11603014</v>
      </c>
      <c r="D54" s="11">
        <f>'FY2010 Exp as of 04-05-10'!E8</f>
        <v>5465500.0300000003</v>
      </c>
      <c r="E54" s="12">
        <f t="shared" si="9"/>
        <v>0.47104140613809481</v>
      </c>
      <c r="F54" s="28">
        <f t="shared" si="22"/>
        <v>336006.96999999974</v>
      </c>
      <c r="G54" s="23">
        <f t="shared" si="21"/>
        <v>5801507</v>
      </c>
      <c r="H54" s="25">
        <f t="shared" si="10"/>
        <v>6137513.9699999997</v>
      </c>
      <c r="I54" s="1">
        <v>0.5</v>
      </c>
      <c r="J54" s="135" t="s">
        <v>124</v>
      </c>
      <c r="K54" s="156">
        <f t="shared" si="11"/>
        <v>11603014</v>
      </c>
      <c r="L54" s="156">
        <f t="shared" si="12"/>
        <v>5465500.0300000003</v>
      </c>
      <c r="M54" s="155">
        <f t="shared" si="13"/>
        <v>0.47104140613809481</v>
      </c>
      <c r="N54" s="156">
        <f t="shared" si="14"/>
        <v>6137513.9699999997</v>
      </c>
      <c r="O54" s="156">
        <f>'FY 2009 Exp 01-06-10'!C8</f>
        <v>11138553</v>
      </c>
      <c r="P54" s="156">
        <f>SUM('FY 2009 Exp 01-06-10'!F8:K8)</f>
        <v>5806850.4500000002</v>
      </c>
      <c r="Q54" s="155">
        <f t="shared" si="15"/>
        <v>0.52132897783042376</v>
      </c>
      <c r="R54" s="156">
        <f>'FY 2009 Exp 01-06-10'!D8</f>
        <v>12178567</v>
      </c>
      <c r="S54" s="155">
        <f t="shared" si="16"/>
        <v>0.4768090079891994</v>
      </c>
      <c r="T54" s="13">
        <f t="shared" si="17"/>
        <v>5331702.55</v>
      </c>
      <c r="U54" s="156">
        <f>'FY 2008 Exp 01-06-10'!C8</f>
        <v>10691922</v>
      </c>
      <c r="V54" s="156">
        <f>SUM('FY 2008 Exp 01-06-10'!F8:K8)</f>
        <v>4386370.58</v>
      </c>
      <c r="W54" s="155">
        <f t="shared" si="18"/>
        <v>0.41025089595677933</v>
      </c>
      <c r="X54" s="156">
        <f>'FY 2008 Exp 01-06-10'!D8</f>
        <v>11576518</v>
      </c>
      <c r="Y54" s="155">
        <f t="shared" si="19"/>
        <v>0.37890241089764642</v>
      </c>
      <c r="Z54" s="13">
        <f t="shared" si="20"/>
        <v>6305551.4199999999</v>
      </c>
    </row>
    <row r="55" spans="1:26" ht="15.75" customHeight="1">
      <c r="A55" s="218" t="s">
        <v>32</v>
      </c>
      <c r="B55" s="219"/>
      <c r="C55" s="11">
        <f>'FY 2010 Exp as of 01-06-10'!C9</f>
        <v>14742575</v>
      </c>
      <c r="D55" s="11">
        <f>'FY2010 Exp as of 04-05-10'!E9</f>
        <v>7110684.3600000003</v>
      </c>
      <c r="E55" s="12">
        <f t="shared" si="9"/>
        <v>0.48232309213281943</v>
      </c>
      <c r="F55" s="28">
        <f t="shared" si="22"/>
        <v>260603.13999999966</v>
      </c>
      <c r="G55" s="23">
        <f t="shared" si="21"/>
        <v>7371287.5</v>
      </c>
      <c r="H55" s="25">
        <f t="shared" si="10"/>
        <v>7631890.6399999997</v>
      </c>
      <c r="I55" s="1">
        <v>0.5</v>
      </c>
      <c r="J55" s="135" t="s">
        <v>32</v>
      </c>
      <c r="K55" s="156">
        <f t="shared" si="11"/>
        <v>14742575</v>
      </c>
      <c r="L55" s="156">
        <f t="shared" si="12"/>
        <v>7110684.3600000003</v>
      </c>
      <c r="M55" s="155">
        <f t="shared" si="13"/>
        <v>0.48232309213281943</v>
      </c>
      <c r="N55" s="156">
        <f t="shared" si="14"/>
        <v>7631890.6399999997</v>
      </c>
      <c r="O55" s="156">
        <f>'FY 2009 Exp 01-06-10'!C9</f>
        <v>14546174</v>
      </c>
      <c r="P55" s="156">
        <f>SUM('FY 2009 Exp 01-06-10'!F9:K9)</f>
        <v>7093933.3399999999</v>
      </c>
      <c r="Q55" s="155">
        <f t="shared" si="15"/>
        <v>0.48768379506528658</v>
      </c>
      <c r="R55" s="156">
        <f>'FY 2009 Exp 01-06-10'!D9</f>
        <v>14631394</v>
      </c>
      <c r="S55" s="155">
        <f t="shared" si="16"/>
        <v>0.48484329927825059</v>
      </c>
      <c r="T55" s="13">
        <f t="shared" si="17"/>
        <v>7452240.6600000001</v>
      </c>
      <c r="U55" s="156">
        <f>'FY 2008 Exp 01-06-10'!C9</f>
        <v>13877308</v>
      </c>
      <c r="V55" s="156">
        <f>SUM('FY 2008 Exp 01-06-10'!F9:K9)</f>
        <v>6907471.1899999995</v>
      </c>
      <c r="W55" s="155">
        <f t="shared" si="18"/>
        <v>0.49775296404749392</v>
      </c>
      <c r="X55" s="156">
        <f>'FY 2008 Exp 01-06-10'!D9</f>
        <v>14249804</v>
      </c>
      <c r="Y55" s="155">
        <f t="shared" si="19"/>
        <v>0.48474148767239184</v>
      </c>
      <c r="Z55" s="13">
        <f t="shared" si="20"/>
        <v>6969836.8100000005</v>
      </c>
    </row>
    <row r="56" spans="1:26" ht="15.75" customHeight="1">
      <c r="A56" s="218" t="s">
        <v>33</v>
      </c>
      <c r="B56" s="219"/>
      <c r="C56" s="11">
        <f>'FY 2010 Exp as of 01-06-10'!C10</f>
        <v>10775827</v>
      </c>
      <c r="D56" s="11">
        <f>'FY2010 Exp as of 04-05-10'!E10</f>
        <v>5358645.12</v>
      </c>
      <c r="E56" s="12">
        <f t="shared" si="9"/>
        <v>0.49728388549667696</v>
      </c>
      <c r="F56" s="28">
        <f t="shared" si="22"/>
        <v>29268.379999999888</v>
      </c>
      <c r="G56" s="23">
        <f t="shared" si="21"/>
        <v>5387913.5</v>
      </c>
      <c r="H56" s="25">
        <f t="shared" si="10"/>
        <v>5417181.8799999999</v>
      </c>
      <c r="I56" s="1">
        <v>0.5</v>
      </c>
      <c r="J56" s="135" t="s">
        <v>33</v>
      </c>
      <c r="K56" s="156">
        <f t="shared" si="11"/>
        <v>10775827</v>
      </c>
      <c r="L56" s="156">
        <f t="shared" si="12"/>
        <v>5358645.12</v>
      </c>
      <c r="M56" s="155">
        <f t="shared" si="13"/>
        <v>0.49728388549667696</v>
      </c>
      <c r="N56" s="156">
        <f t="shared" si="14"/>
        <v>5417181.8799999999</v>
      </c>
      <c r="O56" s="156">
        <f>'FY 2009 Exp 01-06-10'!C10</f>
        <v>10460745</v>
      </c>
      <c r="P56" s="156">
        <f>SUM('FY 2009 Exp 01-06-10'!F10:K10)</f>
        <v>5117713.63</v>
      </c>
      <c r="Q56" s="155">
        <f t="shared" si="15"/>
        <v>0.48923032059380089</v>
      </c>
      <c r="R56" s="156">
        <f>'FY 2009 Exp 01-06-10'!D10</f>
        <v>10518776</v>
      </c>
      <c r="S56" s="155">
        <f t="shared" si="16"/>
        <v>0.4865312874805966</v>
      </c>
      <c r="T56" s="13">
        <f t="shared" si="17"/>
        <v>5343031.37</v>
      </c>
      <c r="U56" s="156">
        <f>'FY 2008 Exp 01-06-10'!C10</f>
        <v>10121330</v>
      </c>
      <c r="V56" s="156">
        <f>SUM('FY 2008 Exp 01-06-10'!F10:K10)</f>
        <v>4987796.5</v>
      </c>
      <c r="W56" s="155">
        <f t="shared" si="18"/>
        <v>0.49280050151511706</v>
      </c>
      <c r="X56" s="156">
        <f>'FY 2008 Exp 01-06-10'!D10</f>
        <v>10185578</v>
      </c>
      <c r="Y56" s="155">
        <f t="shared" si="19"/>
        <v>0.48969204300433417</v>
      </c>
      <c r="Z56" s="13">
        <f t="shared" si="20"/>
        <v>5133533.5</v>
      </c>
    </row>
    <row r="57" spans="1:26" ht="15.75" customHeight="1">
      <c r="A57" s="218" t="s">
        <v>34</v>
      </c>
      <c r="B57" s="219"/>
      <c r="C57" s="11">
        <f>'FY 2010 Exp as of 01-06-10'!C11</f>
        <v>10781064</v>
      </c>
      <c r="D57" s="11">
        <f>'FY2010 Exp as of 04-05-10'!E11</f>
        <v>4565598.2300000004</v>
      </c>
      <c r="E57" s="12">
        <f t="shared" si="9"/>
        <v>0.42348308385888445</v>
      </c>
      <c r="F57" s="28">
        <f t="shared" si="22"/>
        <v>824933.76999999955</v>
      </c>
      <c r="G57" s="23">
        <f t="shared" si="21"/>
        <v>5390532</v>
      </c>
      <c r="H57" s="25">
        <f t="shared" si="10"/>
        <v>6215465.7699999996</v>
      </c>
      <c r="I57" s="1">
        <v>0.5</v>
      </c>
      <c r="J57" s="135" t="s">
        <v>34</v>
      </c>
      <c r="K57" s="156">
        <f t="shared" si="11"/>
        <v>10781064</v>
      </c>
      <c r="L57" s="156">
        <f t="shared" si="12"/>
        <v>4565598.2300000004</v>
      </c>
      <c r="M57" s="155">
        <f t="shared" si="13"/>
        <v>0.42348308385888445</v>
      </c>
      <c r="N57" s="156">
        <f t="shared" si="14"/>
        <v>6215465.7699999996</v>
      </c>
      <c r="O57" s="156">
        <f>'FY 2009 Exp 01-06-10'!C11</f>
        <v>10829424</v>
      </c>
      <c r="P57" s="156">
        <f>SUM('FY 2009 Exp 01-06-10'!F11:K11)</f>
        <v>4724841.4400000004</v>
      </c>
      <c r="Q57" s="155">
        <f t="shared" si="15"/>
        <v>0.43629665252741057</v>
      </c>
      <c r="R57" s="156">
        <f>'FY 2009 Exp 01-06-10'!D11</f>
        <v>11207054</v>
      </c>
      <c r="S57" s="155">
        <f t="shared" si="16"/>
        <v>0.42159531309477055</v>
      </c>
      <c r="T57" s="13">
        <f t="shared" si="17"/>
        <v>6104582.5599999996</v>
      </c>
      <c r="U57" s="156">
        <f>'FY 2008 Exp 01-06-10'!C11</f>
        <v>10503495</v>
      </c>
      <c r="V57" s="156">
        <f>SUM('FY 2008 Exp 01-06-10'!F11:K11)</f>
        <v>4702741.6899999995</v>
      </c>
      <c r="W57" s="155">
        <f t="shared" si="18"/>
        <v>0.44773113044753193</v>
      </c>
      <c r="X57" s="156">
        <f>'FY 2008 Exp 01-06-10'!D11</f>
        <v>11177385</v>
      </c>
      <c r="Y57" s="155">
        <f t="shared" si="19"/>
        <v>0.42073720194839842</v>
      </c>
      <c r="Z57" s="13">
        <f t="shared" si="20"/>
        <v>5800753.3100000005</v>
      </c>
    </row>
    <row r="58" spans="1:26" ht="15.75" customHeight="1">
      <c r="A58" s="218" t="s">
        <v>35</v>
      </c>
      <c r="B58" s="219"/>
      <c r="C58" s="11">
        <f>'FY 2010 Exp as of 01-06-10'!C12</f>
        <v>45971504</v>
      </c>
      <c r="D58" s="11">
        <f>'FY2010 Exp as of 04-05-10'!E12</f>
        <v>23496387.489999998</v>
      </c>
      <c r="E58" s="12">
        <f t="shared" si="9"/>
        <v>0.51110765247097412</v>
      </c>
      <c r="F58" s="28">
        <f t="shared" si="22"/>
        <v>-510635.48999999836</v>
      </c>
      <c r="G58" s="23">
        <f t="shared" si="21"/>
        <v>22985752</v>
      </c>
      <c r="H58" s="25">
        <f t="shared" si="10"/>
        <v>22475116.510000002</v>
      </c>
      <c r="I58" s="1">
        <v>0.5</v>
      </c>
      <c r="J58" s="135" t="s">
        <v>35</v>
      </c>
      <c r="K58" s="156">
        <f t="shared" si="11"/>
        <v>45971504</v>
      </c>
      <c r="L58" s="156">
        <f t="shared" si="12"/>
        <v>23496387.489999998</v>
      </c>
      <c r="M58" s="155">
        <f t="shared" si="13"/>
        <v>0.51110765247097412</v>
      </c>
      <c r="N58" s="156">
        <f t="shared" si="14"/>
        <v>22475116.510000002</v>
      </c>
      <c r="O58" s="156">
        <f>'FY 2009 Exp 01-06-10'!C12</f>
        <v>44763416</v>
      </c>
      <c r="P58" s="156">
        <f>SUM('FY 2009 Exp 01-06-10'!F12:K12)</f>
        <v>23289222.100000001</v>
      </c>
      <c r="Q58" s="155">
        <f t="shared" si="15"/>
        <v>0.52027356670009284</v>
      </c>
      <c r="R58" s="156">
        <f>'FY 2009 Exp 01-06-10'!D12</f>
        <v>45148643</v>
      </c>
      <c r="S58" s="155">
        <f t="shared" si="16"/>
        <v>0.51583437624027817</v>
      </c>
      <c r="T58" s="13">
        <f t="shared" si="17"/>
        <v>21474193.899999999</v>
      </c>
      <c r="U58" s="156">
        <f>'FY 2008 Exp 01-06-10'!C12</f>
        <v>44214975</v>
      </c>
      <c r="V58" s="156">
        <f>SUM('FY 2008 Exp 01-06-10'!F12:K12)</f>
        <v>22765117.540000003</v>
      </c>
      <c r="W58" s="155">
        <f t="shared" si="18"/>
        <v>0.51487346854770366</v>
      </c>
      <c r="X58" s="156">
        <f>'FY 2008 Exp 01-06-10'!D12</f>
        <v>44791732</v>
      </c>
      <c r="Y58" s="155">
        <f t="shared" si="19"/>
        <v>0.50824374328726563</v>
      </c>
      <c r="Z58" s="13">
        <f t="shared" si="20"/>
        <v>21449857.459999997</v>
      </c>
    </row>
    <row r="59" spans="1:26" ht="15.75" customHeight="1" thickBot="1">
      <c r="A59" s="218" t="s">
        <v>36</v>
      </c>
      <c r="B59" s="219"/>
      <c r="C59" s="11">
        <f>'FY 2010 Exp as of 01-06-10'!C14</f>
        <v>8370000</v>
      </c>
      <c r="D59" s="11">
        <f>'FY2010 Exp as of 04-05-10'!E14</f>
        <v>7790000</v>
      </c>
      <c r="E59" s="12">
        <f t="shared" si="9"/>
        <v>0.93070489844683391</v>
      </c>
      <c r="F59" s="28">
        <f t="shared" si="22"/>
        <v>-3605000</v>
      </c>
      <c r="G59" s="23">
        <f t="shared" si="21"/>
        <v>4185000</v>
      </c>
      <c r="H59" s="25">
        <f t="shared" si="10"/>
        <v>580000</v>
      </c>
      <c r="I59" s="1">
        <v>0.5</v>
      </c>
      <c r="J59" s="135" t="s">
        <v>36</v>
      </c>
      <c r="K59" s="158">
        <f t="shared" si="11"/>
        <v>8370000</v>
      </c>
      <c r="L59" s="158">
        <f t="shared" si="12"/>
        <v>7790000</v>
      </c>
      <c r="M59" s="152">
        <f t="shared" si="13"/>
        <v>0.93070489844683391</v>
      </c>
      <c r="N59" s="158">
        <f t="shared" si="14"/>
        <v>580000</v>
      </c>
      <c r="O59" s="158">
        <f>'FY 2009 Exp 01-06-10'!C14</f>
        <v>8707782</v>
      </c>
      <c r="P59" s="158">
        <f>SUM('FY 2009 Exp 01-06-10'!F14:K14)</f>
        <v>8668245</v>
      </c>
      <c r="Q59" s="152">
        <f t="shared" si="15"/>
        <v>0.99545957857006528</v>
      </c>
      <c r="R59" s="158">
        <f>'FY 2009 Exp 01-06-10'!D14</f>
        <v>13464262</v>
      </c>
      <c r="S59" s="152">
        <f t="shared" si="16"/>
        <v>0.64379651851694508</v>
      </c>
      <c r="T59" s="159">
        <f t="shared" si="17"/>
        <v>39537</v>
      </c>
      <c r="U59" s="158">
        <f>'FY 2008 Exp 01-06-10'!C14</f>
        <v>9046853</v>
      </c>
      <c r="V59" s="158">
        <f>SUM('FY 2008 Exp 01-06-10'!F14:K14)</f>
        <v>8086390</v>
      </c>
      <c r="W59" s="152">
        <f t="shared" si="18"/>
        <v>0.89383457429893021</v>
      </c>
      <c r="X59" s="158">
        <f>'FY 2008 Exp 01-06-10'!D14</f>
        <v>19089565</v>
      </c>
      <c r="Y59" s="152">
        <f t="shared" si="19"/>
        <v>0.42360263316633984</v>
      </c>
      <c r="Z59" s="159">
        <f t="shared" si="20"/>
        <v>960463</v>
      </c>
    </row>
    <row r="60" spans="1:26" ht="15.75" customHeight="1" thickBot="1">
      <c r="A60" s="220" t="s">
        <v>28</v>
      </c>
      <c r="B60" s="221"/>
      <c r="C60" s="20">
        <f>SUM(C49:C59)</f>
        <v>152858941</v>
      </c>
      <c r="D60" s="20">
        <f>SUM(D49:D59)</f>
        <v>72106097.170000002</v>
      </c>
      <c r="E60" s="12">
        <f t="shared" si="9"/>
        <v>0.47171658195643262</v>
      </c>
      <c r="F60" s="20">
        <f t="shared" si="22"/>
        <v>4323373.3299999982</v>
      </c>
      <c r="G60" s="23">
        <f t="shared" si="21"/>
        <v>76429470.5</v>
      </c>
      <c r="J60" s="107"/>
      <c r="K60" s="157">
        <f>SUM(K49:K59)</f>
        <v>152858941</v>
      </c>
      <c r="L60" s="157">
        <f>SUM(L49:L59)</f>
        <v>72106097.170000002</v>
      </c>
      <c r="M60" s="153">
        <f t="shared" si="13"/>
        <v>0.47171658195643262</v>
      </c>
      <c r="N60" s="157">
        <f>SUM(N49:N59)</f>
        <v>80752843.830000013</v>
      </c>
      <c r="O60" s="157">
        <f>SUM(O49:O59)</f>
        <v>150486607</v>
      </c>
      <c r="P60" s="157">
        <f>SUM(P49:P59)</f>
        <v>74770098.310000002</v>
      </c>
      <c r="Q60" s="153">
        <f t="shared" si="15"/>
        <v>0.49685549963924697</v>
      </c>
      <c r="R60" s="157">
        <f>SUM(R49:R59)</f>
        <v>154788048</v>
      </c>
      <c r="S60" s="153">
        <f t="shared" si="16"/>
        <v>0.48304826681450236</v>
      </c>
      <c r="T60" s="157">
        <f>SUM(T49:T59)</f>
        <v>75716508.689999998</v>
      </c>
      <c r="U60" s="157">
        <f>SUM(U49:U59)</f>
        <v>145532969</v>
      </c>
      <c r="V60" s="157">
        <f>SUM(V49:V59)</f>
        <v>67415636.429999992</v>
      </c>
      <c r="W60" s="153">
        <f t="shared" si="18"/>
        <v>0.46323274302196082</v>
      </c>
      <c r="X60" s="157">
        <f>SUM(X49:X59)</f>
        <v>155602576</v>
      </c>
      <c r="Y60" s="153">
        <f t="shared" si="19"/>
        <v>0.43325527226490129</v>
      </c>
      <c r="Z60" s="157">
        <f>SUM(Z49:Z59)</f>
        <v>78117332.570000008</v>
      </c>
    </row>
    <row r="61" spans="1:26" ht="13.5" thickTop="1"/>
  </sheetData>
  <mergeCells count="26">
    <mergeCell ref="A60:B60"/>
    <mergeCell ref="A14:F14"/>
    <mergeCell ref="A46:F46"/>
    <mergeCell ref="A55:B55"/>
    <mergeCell ref="A56:B56"/>
    <mergeCell ref="A57:B57"/>
    <mergeCell ref="A59:B59"/>
    <mergeCell ref="A51:B51"/>
    <mergeCell ref="A52:B52"/>
    <mergeCell ref="A53:B53"/>
    <mergeCell ref="A58:B58"/>
    <mergeCell ref="A19:B19"/>
    <mergeCell ref="A20:B20"/>
    <mergeCell ref="A21:B21"/>
    <mergeCell ref="A22:B22"/>
    <mergeCell ref="A23:B23"/>
    <mergeCell ref="B3:D3"/>
    <mergeCell ref="A13:F13"/>
    <mergeCell ref="A16:B16"/>
    <mergeCell ref="A17:B17"/>
    <mergeCell ref="A18:B18"/>
    <mergeCell ref="A24:B24"/>
    <mergeCell ref="A54:B54"/>
    <mergeCell ref="A48:B48"/>
    <mergeCell ref="A49:B49"/>
    <mergeCell ref="A50:B50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4" sqref="C34"/>
    </sheetView>
  </sheetViews>
  <sheetFormatPr defaultColWidth="8" defaultRowHeight="12.75"/>
  <cols>
    <col min="1" max="1" width="27.25" style="65" bestFit="1" customWidth="1"/>
    <col min="2" max="2" width="26.625" style="65" bestFit="1" customWidth="1"/>
    <col min="3" max="3" width="14.375" style="65" customWidth="1"/>
    <col min="4" max="4" width="14.875" style="65" bestFit="1" customWidth="1"/>
    <col min="5" max="5" width="47.25" style="65" customWidth="1"/>
    <col min="6" max="16384" width="8" style="65"/>
  </cols>
  <sheetData>
    <row r="1" spans="1:5">
      <c r="A1" s="85" t="s">
        <v>60</v>
      </c>
      <c r="B1" s="86" t="s">
        <v>61</v>
      </c>
      <c r="C1" s="223">
        <v>2010</v>
      </c>
      <c r="D1" s="224"/>
      <c r="E1" s="64"/>
    </row>
    <row r="2" spans="1:5" ht="30" customHeight="1">
      <c r="A2" s="87"/>
      <c r="B2" s="88"/>
      <c r="C2" s="89" t="s">
        <v>5</v>
      </c>
      <c r="D2" s="90" t="s">
        <v>63</v>
      </c>
      <c r="E2" s="64"/>
    </row>
    <row r="3" spans="1:5">
      <c r="A3" s="75" t="s">
        <v>16</v>
      </c>
      <c r="B3" s="76" t="s">
        <v>76</v>
      </c>
      <c r="C3" s="77">
        <v>129998044.09</v>
      </c>
      <c r="D3" s="78">
        <v>130450730</v>
      </c>
      <c r="E3" s="64"/>
    </row>
    <row r="4" spans="1:5">
      <c r="A4" s="72"/>
      <c r="B4" s="73"/>
      <c r="C4" s="74">
        <f>SUBTOTAL(9,C3)</f>
        <v>129998044.09</v>
      </c>
      <c r="D4" s="83">
        <f>SUBTOTAL(9,D3)</f>
        <v>130450730</v>
      </c>
      <c r="E4" s="64"/>
    </row>
    <row r="5" spans="1:5">
      <c r="A5" s="67" t="s">
        <v>0</v>
      </c>
      <c r="B5" s="70" t="s">
        <v>77</v>
      </c>
      <c r="C5" s="71">
        <v>2500</v>
      </c>
      <c r="D5" s="84">
        <v>4000</v>
      </c>
      <c r="E5" s="64"/>
    </row>
    <row r="6" spans="1:5">
      <c r="A6" s="68"/>
      <c r="B6" s="70" t="s">
        <v>78</v>
      </c>
      <c r="C6" s="71">
        <v>0</v>
      </c>
      <c r="D6" s="84">
        <v>0</v>
      </c>
      <c r="E6" s="64"/>
    </row>
    <row r="7" spans="1:5">
      <c r="A7" s="72"/>
      <c r="B7" s="73"/>
      <c r="C7" s="74">
        <f>SUBTOTAL(9,C5:C6)</f>
        <v>2500</v>
      </c>
      <c r="D7" s="83">
        <f>SUBTOTAL(9,D5:D6)</f>
        <v>4000</v>
      </c>
      <c r="E7" s="64"/>
    </row>
    <row r="8" spans="1:5">
      <c r="A8" s="67" t="s">
        <v>17</v>
      </c>
      <c r="B8" s="70" t="s">
        <v>79</v>
      </c>
      <c r="C8" s="71">
        <v>9800</v>
      </c>
      <c r="D8" s="84">
        <v>14200</v>
      </c>
      <c r="E8" s="64"/>
    </row>
    <row r="9" spans="1:5">
      <c r="A9" s="66"/>
      <c r="B9" s="70" t="s">
        <v>80</v>
      </c>
      <c r="C9" s="71">
        <v>89647</v>
      </c>
      <c r="D9" s="84">
        <v>55620</v>
      </c>
      <c r="E9" s="64"/>
    </row>
    <row r="10" spans="1:5">
      <c r="A10" s="66"/>
      <c r="B10" s="70" t="s">
        <v>81</v>
      </c>
      <c r="C10" s="71">
        <v>1356955.92</v>
      </c>
      <c r="D10" s="84">
        <v>1417315</v>
      </c>
      <c r="E10" s="64"/>
    </row>
    <row r="11" spans="1:5">
      <c r="A11" s="68"/>
      <c r="B11" s="70" t="s">
        <v>82</v>
      </c>
      <c r="C11" s="71">
        <v>1788263.07</v>
      </c>
      <c r="D11" s="84">
        <v>2060000</v>
      </c>
      <c r="E11" s="64"/>
    </row>
    <row r="12" spans="1:5">
      <c r="A12" s="72"/>
      <c r="B12" s="73"/>
      <c r="C12" s="74">
        <f>SUBTOTAL(9,C8:C11)</f>
        <v>3244665.99</v>
      </c>
      <c r="D12" s="83">
        <f>SUBTOTAL(9,D8:D11)</f>
        <v>3547135</v>
      </c>
      <c r="E12" s="64"/>
    </row>
    <row r="13" spans="1:5">
      <c r="A13" s="67" t="s">
        <v>20</v>
      </c>
      <c r="B13" s="70" t="s">
        <v>83</v>
      </c>
      <c r="C13" s="71">
        <v>4851710.3600000003</v>
      </c>
      <c r="D13" s="84">
        <v>6098272</v>
      </c>
      <c r="E13" s="64"/>
    </row>
    <row r="14" spans="1:5">
      <c r="A14" s="66"/>
      <c r="B14" s="70" t="s">
        <v>84</v>
      </c>
      <c r="C14" s="71">
        <v>4385709.67</v>
      </c>
      <c r="D14" s="84">
        <v>4608885</v>
      </c>
      <c r="E14" s="64"/>
    </row>
    <row r="15" spans="1:5">
      <c r="A15" s="66"/>
      <c r="B15" s="70" t="s">
        <v>85</v>
      </c>
      <c r="C15" s="71">
        <v>0</v>
      </c>
      <c r="D15" s="84">
        <v>0</v>
      </c>
      <c r="E15" s="64"/>
    </row>
    <row r="16" spans="1:5">
      <c r="A16" s="66"/>
      <c r="B16" s="70" t="s">
        <v>86</v>
      </c>
      <c r="C16" s="71">
        <v>5420185.4800000004</v>
      </c>
      <c r="D16" s="84">
        <v>5953497</v>
      </c>
      <c r="E16" s="64"/>
    </row>
    <row r="17" spans="1:5">
      <c r="A17" s="66"/>
      <c r="B17" s="70" t="s">
        <v>87</v>
      </c>
      <c r="C17" s="71">
        <v>27240</v>
      </c>
      <c r="D17" s="84">
        <v>23000</v>
      </c>
      <c r="E17" s="64"/>
    </row>
    <row r="18" spans="1:5">
      <c r="A18" s="68"/>
      <c r="B18" s="70" t="s">
        <v>88</v>
      </c>
      <c r="C18" s="71">
        <v>276355.21999999997</v>
      </c>
      <c r="D18" s="84">
        <v>273450</v>
      </c>
      <c r="E18" s="64"/>
    </row>
    <row r="19" spans="1:5">
      <c r="A19" s="72"/>
      <c r="B19" s="73"/>
      <c r="C19" s="74">
        <f>SUBTOTAL(9,C13:C18)</f>
        <v>14961200.730000002</v>
      </c>
      <c r="D19" s="83">
        <f>SUBTOTAL(9,D13:D18)</f>
        <v>16957104</v>
      </c>
      <c r="E19" s="64"/>
    </row>
    <row r="20" spans="1:5">
      <c r="A20" s="69" t="s">
        <v>22</v>
      </c>
      <c r="B20" s="70" t="s">
        <v>89</v>
      </c>
      <c r="C20" s="71">
        <v>1794927.36</v>
      </c>
      <c r="D20" s="84">
        <v>2301020</v>
      </c>
      <c r="E20" s="64"/>
    </row>
    <row r="21" spans="1:5">
      <c r="A21" s="72"/>
      <c r="B21" s="73"/>
      <c r="C21" s="74">
        <f>SUBTOTAL(9,C20)</f>
        <v>1794927.36</v>
      </c>
      <c r="D21" s="83">
        <f>SUBTOTAL(9,D20)</f>
        <v>2301020</v>
      </c>
      <c r="E21" s="64"/>
    </row>
    <row r="22" spans="1:5">
      <c r="A22" s="67" t="s">
        <v>18</v>
      </c>
      <c r="B22" s="70" t="s">
        <v>90</v>
      </c>
      <c r="C22" s="71">
        <v>2154148.61</v>
      </c>
      <c r="D22" s="84">
        <v>3113690</v>
      </c>
      <c r="E22" s="64"/>
    </row>
    <row r="23" spans="1:5">
      <c r="A23" s="68"/>
      <c r="B23" s="70" t="s">
        <v>91</v>
      </c>
      <c r="C23" s="71">
        <v>23948.66</v>
      </c>
      <c r="D23" s="84">
        <v>19600</v>
      </c>
      <c r="E23" s="64"/>
    </row>
    <row r="24" spans="1:5">
      <c r="A24" s="72"/>
      <c r="B24" s="73"/>
      <c r="C24" s="74">
        <f>SUBTOTAL(9,C22:C23)</f>
        <v>2178097.27</v>
      </c>
      <c r="D24" s="83">
        <f>SUBTOTAL(9,D22:D23)</f>
        <v>3133290</v>
      </c>
      <c r="E24" s="64"/>
    </row>
    <row r="25" spans="1:5">
      <c r="A25" s="69" t="s">
        <v>21</v>
      </c>
      <c r="B25" s="70" t="s">
        <v>92</v>
      </c>
      <c r="C25" s="71">
        <v>0</v>
      </c>
      <c r="D25" s="84">
        <v>0</v>
      </c>
      <c r="E25" s="64"/>
    </row>
    <row r="26" spans="1:5">
      <c r="A26" s="72"/>
      <c r="B26" s="73"/>
      <c r="C26" s="74">
        <f>SUBTOTAL(9,C25)</f>
        <v>0</v>
      </c>
      <c r="D26" s="83">
        <f>SUBTOTAL(9,D25)</f>
        <v>0</v>
      </c>
      <c r="E26" s="64"/>
    </row>
    <row r="27" spans="1:5">
      <c r="A27" s="67" t="s">
        <v>19</v>
      </c>
      <c r="B27" s="70" t="s">
        <v>93</v>
      </c>
      <c r="C27" s="71">
        <v>0</v>
      </c>
      <c r="D27" s="84">
        <v>0</v>
      </c>
      <c r="E27" s="64"/>
    </row>
    <row r="28" spans="1:5">
      <c r="A28" s="66"/>
      <c r="B28" s="70" t="s">
        <v>94</v>
      </c>
      <c r="C28" s="71">
        <v>568249.86</v>
      </c>
      <c r="D28" s="84">
        <v>519135</v>
      </c>
      <c r="E28" s="64"/>
    </row>
    <row r="29" spans="1:5">
      <c r="A29" s="68"/>
      <c r="B29" s="70" t="s">
        <v>95</v>
      </c>
      <c r="C29" s="71">
        <v>0</v>
      </c>
      <c r="D29" s="84">
        <v>0</v>
      </c>
      <c r="E29" s="64"/>
    </row>
    <row r="30" spans="1:5">
      <c r="A30" s="72"/>
      <c r="B30" s="73"/>
      <c r="C30" s="74">
        <f>SUBTOTAL(9,C27:C29)</f>
        <v>568249.86</v>
      </c>
      <c r="D30" s="83">
        <f>SUBTOTAL(9,D27:D29)</f>
        <v>519135</v>
      </c>
      <c r="E30" s="64"/>
    </row>
    <row r="31" spans="1:5">
      <c r="A31" s="67" t="s">
        <v>6</v>
      </c>
      <c r="B31" s="70" t="s">
        <v>96</v>
      </c>
      <c r="C31" s="71">
        <v>373.77</v>
      </c>
      <c r="D31" s="84">
        <v>0</v>
      </c>
      <c r="E31" s="64"/>
    </row>
    <row r="32" spans="1:5">
      <c r="A32" s="68"/>
      <c r="B32" s="70" t="s">
        <v>97</v>
      </c>
      <c r="C32" s="71">
        <v>52669.16</v>
      </c>
      <c r="D32" s="84">
        <v>45000</v>
      </c>
      <c r="E32" s="64"/>
    </row>
    <row r="33" spans="1:5">
      <c r="A33" s="72"/>
      <c r="B33" s="73"/>
      <c r="C33" s="74">
        <f>SUBTOTAL(9,C31:C32)</f>
        <v>53042.93</v>
      </c>
      <c r="D33" s="83">
        <f>SUBTOTAL(9,D31:D32)</f>
        <v>45000</v>
      </c>
      <c r="E33" s="64"/>
    </row>
    <row r="34" spans="1:5">
      <c r="A34" s="79"/>
      <c r="B34" s="80"/>
      <c r="C34" s="81">
        <f>SUBTOTAL(9,C2:C33)</f>
        <v>152800728.23000002</v>
      </c>
      <c r="D34" s="82">
        <f>SUBTOTAL(9,D2:D33)</f>
        <v>156957414</v>
      </c>
      <c r="E34" s="64"/>
    </row>
  </sheetData>
  <mergeCells count="1">
    <mergeCell ref="C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5" sqref="E15"/>
    </sheetView>
  </sheetViews>
  <sheetFormatPr defaultColWidth="12.625" defaultRowHeight="12.75"/>
  <cols>
    <col min="1" max="1" width="17.5" style="92" bestFit="1" customWidth="1"/>
    <col min="2" max="2" width="23.375" style="92" bestFit="1" customWidth="1"/>
    <col min="3" max="4" width="13.5" style="92" bestFit="1" customWidth="1"/>
    <col min="5" max="5" width="14.625" style="92" customWidth="1"/>
    <col min="6" max="16384" width="12.625" style="92"/>
  </cols>
  <sheetData>
    <row r="1" spans="1:6" ht="13.5" customHeight="1">
      <c r="A1" s="104" t="s">
        <v>103</v>
      </c>
      <c r="B1" s="104" t="s">
        <v>60</v>
      </c>
      <c r="C1" s="105" t="s">
        <v>104</v>
      </c>
      <c r="D1" s="105" t="s">
        <v>105</v>
      </c>
      <c r="E1" s="106" t="s">
        <v>106</v>
      </c>
      <c r="F1" s="91"/>
    </row>
    <row r="2" spans="1:6" ht="15" customHeight="1">
      <c r="A2" s="93">
        <v>80</v>
      </c>
      <c r="B2" s="94" t="s">
        <v>11</v>
      </c>
      <c r="C2" s="101">
        <v>302496</v>
      </c>
      <c r="D2" s="101">
        <v>302973</v>
      </c>
      <c r="E2" s="102">
        <v>268555.12</v>
      </c>
      <c r="F2" s="91"/>
    </row>
    <row r="3" spans="1:6" ht="15" customHeight="1">
      <c r="A3" s="93">
        <v>76</v>
      </c>
      <c r="B3" s="94" t="s">
        <v>8</v>
      </c>
      <c r="C3" s="101">
        <v>411370</v>
      </c>
      <c r="D3" s="101">
        <v>449880</v>
      </c>
      <c r="E3" s="102">
        <v>423925.69</v>
      </c>
      <c r="F3" s="91"/>
    </row>
    <row r="4" spans="1:6" ht="15" customHeight="1">
      <c r="A4" s="93">
        <v>85</v>
      </c>
      <c r="B4" s="94" t="s">
        <v>107</v>
      </c>
      <c r="C4" s="101">
        <v>0</v>
      </c>
      <c r="D4" s="101">
        <v>0</v>
      </c>
      <c r="E4" s="102">
        <v>0</v>
      </c>
      <c r="F4" s="91"/>
    </row>
    <row r="5" spans="1:6" ht="15" customHeight="1">
      <c r="A5" s="93">
        <v>60</v>
      </c>
      <c r="B5" s="94" t="s">
        <v>9</v>
      </c>
      <c r="C5" s="101">
        <v>3263326</v>
      </c>
      <c r="D5" s="101">
        <v>3313660</v>
      </c>
      <c r="E5" s="102">
        <v>2686839.94</v>
      </c>
      <c r="F5" s="91"/>
    </row>
    <row r="6" spans="1:6" ht="15" customHeight="1">
      <c r="A6" s="93">
        <v>48</v>
      </c>
      <c r="B6" s="94" t="s">
        <v>50</v>
      </c>
      <c r="C6" s="101">
        <v>10604579</v>
      </c>
      <c r="D6" s="101">
        <v>10784418</v>
      </c>
      <c r="E6" s="102">
        <v>9887771.1099999994</v>
      </c>
      <c r="F6" s="91"/>
    </row>
    <row r="7" spans="1:6" ht="15" customHeight="1">
      <c r="A7" s="93">
        <v>41</v>
      </c>
      <c r="B7" s="94" t="s">
        <v>49</v>
      </c>
      <c r="C7" s="101">
        <v>36033186</v>
      </c>
      <c r="D7" s="101">
        <v>40180443</v>
      </c>
      <c r="E7" s="102">
        <v>28645456.449999999</v>
      </c>
      <c r="F7" s="91"/>
    </row>
    <row r="8" spans="1:6" ht="15" customHeight="1">
      <c r="A8" s="93">
        <v>72</v>
      </c>
      <c r="B8" s="94" t="s">
        <v>10</v>
      </c>
      <c r="C8" s="101">
        <v>11603014</v>
      </c>
      <c r="D8" s="101">
        <v>11603799</v>
      </c>
      <c r="E8" s="102">
        <v>10842673.359999999</v>
      </c>
      <c r="F8" s="91"/>
    </row>
    <row r="9" spans="1:6" ht="15" customHeight="1">
      <c r="A9" s="93">
        <v>44</v>
      </c>
      <c r="B9" s="94" t="s">
        <v>52</v>
      </c>
      <c r="C9" s="101">
        <v>14742575</v>
      </c>
      <c r="D9" s="101">
        <v>14758331</v>
      </c>
      <c r="E9" s="102">
        <v>13640147.98</v>
      </c>
      <c r="F9" s="91"/>
    </row>
    <row r="10" spans="1:6" ht="15" customHeight="1">
      <c r="A10" s="93">
        <v>52</v>
      </c>
      <c r="B10" s="94" t="s">
        <v>53</v>
      </c>
      <c r="C10" s="101">
        <v>10775827</v>
      </c>
      <c r="D10" s="101">
        <v>10779624</v>
      </c>
      <c r="E10" s="102">
        <v>10309398.390000001</v>
      </c>
      <c r="F10" s="91"/>
    </row>
    <row r="11" spans="1:6" ht="15" customHeight="1">
      <c r="A11" s="93">
        <v>56</v>
      </c>
      <c r="B11" s="94" t="s">
        <v>7</v>
      </c>
      <c r="C11" s="101">
        <v>10781064</v>
      </c>
      <c r="D11" s="101">
        <v>10820910</v>
      </c>
      <c r="E11" s="102">
        <v>9270329</v>
      </c>
      <c r="F11" s="91"/>
    </row>
    <row r="12" spans="1:6" ht="15" customHeight="1">
      <c r="A12" s="93">
        <v>64</v>
      </c>
      <c r="B12" s="94" t="s">
        <v>51</v>
      </c>
      <c r="C12" s="101">
        <v>45971504</v>
      </c>
      <c r="D12" s="101">
        <v>46263637</v>
      </c>
      <c r="E12" s="102">
        <v>44409312.299999997</v>
      </c>
      <c r="F12" s="91"/>
    </row>
    <row r="13" spans="1:6" ht="15" customHeight="1">
      <c r="A13" s="93">
        <v>68</v>
      </c>
      <c r="B13" s="94" t="s">
        <v>108</v>
      </c>
      <c r="C13" s="101">
        <v>0</v>
      </c>
      <c r="D13" s="101">
        <v>0</v>
      </c>
      <c r="E13" s="102">
        <v>0</v>
      </c>
      <c r="F13" s="91"/>
    </row>
    <row r="14" spans="1:6" ht="15" customHeight="1">
      <c r="A14" s="95">
        <v>88</v>
      </c>
      <c r="B14" s="96" t="s">
        <v>12</v>
      </c>
      <c r="C14" s="101">
        <v>8370000</v>
      </c>
      <c r="D14" s="101">
        <v>8540000</v>
      </c>
      <c r="E14" s="102">
        <v>8420000</v>
      </c>
      <c r="F14" s="91"/>
    </row>
    <row r="15" spans="1:6" ht="12.75" customHeight="1">
      <c r="A15" s="97"/>
      <c r="B15" s="91"/>
      <c r="C15" s="98">
        <f>SUBTOTAL(9,C2:C14)</f>
        <v>152858941</v>
      </c>
      <c r="D15" s="98">
        <f>SUBTOTAL(9,D2:D14)</f>
        <v>157797675</v>
      </c>
      <c r="E15" s="98">
        <f>SUBTOTAL(9,E2:E14)</f>
        <v>138804409.34</v>
      </c>
      <c r="F15" s="91"/>
    </row>
    <row r="16" spans="1:6" ht="14.25" customHeight="1">
      <c r="A16" s="99"/>
      <c r="B16" s="100"/>
      <c r="C16" s="100"/>
      <c r="D16" s="100"/>
      <c r="E16" s="103"/>
      <c r="F16" s="91"/>
    </row>
    <row r="17" spans="1:6" ht="242.25" customHeight="1">
      <c r="A17" s="91"/>
      <c r="B17" s="91"/>
      <c r="C17" s="91"/>
      <c r="D17" s="91"/>
      <c r="E17" s="91"/>
      <c r="F17" s="9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12" sqref="C12"/>
    </sheetView>
  </sheetViews>
  <sheetFormatPr defaultColWidth="8" defaultRowHeight="12.75"/>
  <cols>
    <col min="1" max="1" width="27.25" style="65" bestFit="1" customWidth="1"/>
    <col min="2" max="2" width="26.625" style="65" bestFit="1" customWidth="1"/>
    <col min="3" max="3" width="14.375" style="65" customWidth="1"/>
    <col min="4" max="4" width="14.875" style="65" bestFit="1" customWidth="1"/>
    <col min="5" max="5" width="47.25" style="65" customWidth="1"/>
    <col min="6" max="16384" width="8" style="65"/>
  </cols>
  <sheetData>
    <row r="1" spans="1:5">
      <c r="A1" s="85" t="s">
        <v>60</v>
      </c>
      <c r="B1" s="86" t="s">
        <v>61</v>
      </c>
      <c r="C1" s="223">
        <v>2010</v>
      </c>
      <c r="D1" s="224"/>
      <c r="E1" s="64"/>
    </row>
    <row r="2" spans="1:5" ht="30" customHeight="1">
      <c r="A2" s="87"/>
      <c r="B2" s="88"/>
      <c r="C2" s="89" t="s">
        <v>5</v>
      </c>
      <c r="D2" s="90" t="s">
        <v>63</v>
      </c>
      <c r="E2" s="64"/>
    </row>
    <row r="3" spans="1:5">
      <c r="A3" s="75" t="s">
        <v>16</v>
      </c>
      <c r="B3" s="76" t="s">
        <v>76</v>
      </c>
      <c r="C3" s="77">
        <v>129447511.40000001</v>
      </c>
      <c r="D3" s="78">
        <v>130450730</v>
      </c>
      <c r="E3" s="64"/>
    </row>
    <row r="4" spans="1:5">
      <c r="A4" s="72"/>
      <c r="B4" s="73"/>
      <c r="C4" s="74">
        <f>SUBTOTAL(9,C3)</f>
        <v>129447511.40000001</v>
      </c>
      <c r="D4" s="83">
        <f>SUBTOTAL(9,D3)</f>
        <v>130450730</v>
      </c>
      <c r="E4" s="64"/>
    </row>
    <row r="5" spans="1:5">
      <c r="A5" s="67" t="s">
        <v>0</v>
      </c>
      <c r="B5" s="70" t="s">
        <v>77</v>
      </c>
      <c r="C5" s="71">
        <v>2500</v>
      </c>
      <c r="D5" s="84">
        <v>4000</v>
      </c>
      <c r="E5" s="64"/>
    </row>
    <row r="6" spans="1:5">
      <c r="A6" s="68"/>
      <c r="B6" s="70" t="s">
        <v>78</v>
      </c>
      <c r="C6" s="71">
        <v>0</v>
      </c>
      <c r="D6" s="84">
        <v>0</v>
      </c>
      <c r="E6" s="64"/>
    </row>
    <row r="7" spans="1:5">
      <c r="A7" s="72"/>
      <c r="B7" s="73"/>
      <c r="C7" s="74">
        <f>SUBTOTAL(9,C5:C6)</f>
        <v>2500</v>
      </c>
      <c r="D7" s="83">
        <f>SUBTOTAL(9,D5:D6)</f>
        <v>4000</v>
      </c>
      <c r="E7" s="64"/>
    </row>
    <row r="8" spans="1:5">
      <c r="A8" s="67" t="s">
        <v>17</v>
      </c>
      <c r="B8" s="70" t="s">
        <v>79</v>
      </c>
      <c r="C8" s="71">
        <v>7800</v>
      </c>
      <c r="D8" s="84">
        <v>14200</v>
      </c>
      <c r="E8" s="64"/>
    </row>
    <row r="9" spans="1:5">
      <c r="A9" s="66"/>
      <c r="B9" s="70" t="s">
        <v>80</v>
      </c>
      <c r="C9" s="71">
        <v>89647</v>
      </c>
      <c r="D9" s="84">
        <v>55620</v>
      </c>
      <c r="E9" s="64"/>
    </row>
    <row r="10" spans="1:5">
      <c r="A10" s="66"/>
      <c r="B10" s="70" t="s">
        <v>81</v>
      </c>
      <c r="C10" s="71">
        <v>1156707.8700000001</v>
      </c>
      <c r="D10" s="84">
        <v>1417315</v>
      </c>
      <c r="E10" s="64"/>
    </row>
    <row r="11" spans="1:5">
      <c r="A11" s="68"/>
      <c r="B11" s="70" t="s">
        <v>82</v>
      </c>
      <c r="C11" s="71">
        <v>1099351.27</v>
      </c>
      <c r="D11" s="84">
        <v>2060000</v>
      </c>
      <c r="E11" s="64"/>
    </row>
    <row r="12" spans="1:5">
      <c r="A12" s="72"/>
      <c r="B12" s="73"/>
      <c r="C12" s="74">
        <f>SUBTOTAL(9,C8:C11)</f>
        <v>2353506.14</v>
      </c>
      <c r="D12" s="83">
        <f>SUBTOTAL(9,D8:D11)</f>
        <v>3547135</v>
      </c>
      <c r="E12" s="64"/>
    </row>
    <row r="13" spans="1:5">
      <c r="A13" s="67" t="s">
        <v>20</v>
      </c>
      <c r="B13" s="70" t="s">
        <v>83</v>
      </c>
      <c r="C13" s="71">
        <v>3889882.89</v>
      </c>
      <c r="D13" s="84">
        <v>6098272</v>
      </c>
      <c r="E13" s="64"/>
    </row>
    <row r="14" spans="1:5">
      <c r="A14" s="66"/>
      <c r="B14" s="70" t="s">
        <v>84</v>
      </c>
      <c r="C14" s="71">
        <v>3140966</v>
      </c>
      <c r="D14" s="84">
        <v>4608885</v>
      </c>
      <c r="E14" s="64"/>
    </row>
    <row r="15" spans="1:5">
      <c r="A15" s="66"/>
      <c r="B15" s="70" t="s">
        <v>85</v>
      </c>
      <c r="C15" s="71">
        <v>0</v>
      </c>
      <c r="D15" s="84">
        <v>0</v>
      </c>
      <c r="E15" s="64"/>
    </row>
    <row r="16" spans="1:5">
      <c r="A16" s="66"/>
      <c r="B16" s="70" t="s">
        <v>86</v>
      </c>
      <c r="C16" s="71">
        <v>3971374.3</v>
      </c>
      <c r="D16" s="84">
        <v>5953497</v>
      </c>
      <c r="E16" s="64"/>
    </row>
    <row r="17" spans="1:5">
      <c r="A17" s="66"/>
      <c r="B17" s="70" t="s">
        <v>87</v>
      </c>
      <c r="C17" s="71">
        <v>20580</v>
      </c>
      <c r="D17" s="84">
        <v>23000</v>
      </c>
      <c r="E17" s="64"/>
    </row>
    <row r="18" spans="1:5">
      <c r="A18" s="68"/>
      <c r="B18" s="70" t="s">
        <v>88</v>
      </c>
      <c r="C18" s="71">
        <v>224662.55</v>
      </c>
      <c r="D18" s="84">
        <v>273450</v>
      </c>
      <c r="E18" s="64"/>
    </row>
    <row r="19" spans="1:5">
      <c r="A19" s="72"/>
      <c r="B19" s="73"/>
      <c r="C19" s="74">
        <f>SUBTOTAL(9,C13:C18)</f>
        <v>11247465.740000002</v>
      </c>
      <c r="D19" s="83">
        <f>SUBTOTAL(9,D13:D18)</f>
        <v>16957104</v>
      </c>
      <c r="E19" s="64"/>
    </row>
    <row r="20" spans="1:5">
      <c r="A20" s="69" t="s">
        <v>22</v>
      </c>
      <c r="B20" s="70" t="s">
        <v>89</v>
      </c>
      <c r="C20" s="71">
        <v>1313542.2</v>
      </c>
      <c r="D20" s="84">
        <v>2301020</v>
      </c>
      <c r="E20" s="64"/>
    </row>
    <row r="21" spans="1:5">
      <c r="A21" s="72"/>
      <c r="B21" s="73"/>
      <c r="C21" s="74">
        <f>SUBTOTAL(9,C20)</f>
        <v>1313542.2</v>
      </c>
      <c r="D21" s="83">
        <f>SUBTOTAL(9,D20)</f>
        <v>2301020</v>
      </c>
      <c r="E21" s="64"/>
    </row>
    <row r="22" spans="1:5">
      <c r="A22" s="67" t="s">
        <v>18</v>
      </c>
      <c r="B22" s="70" t="s">
        <v>90</v>
      </c>
      <c r="C22" s="71">
        <v>1497554.89</v>
      </c>
      <c r="D22" s="84">
        <v>3113690</v>
      </c>
      <c r="E22" s="64"/>
    </row>
    <row r="23" spans="1:5">
      <c r="A23" s="68"/>
      <c r="B23" s="70" t="s">
        <v>91</v>
      </c>
      <c r="C23" s="71">
        <v>16939.16</v>
      </c>
      <c r="D23" s="84">
        <v>19600</v>
      </c>
      <c r="E23" s="64"/>
    </row>
    <row r="24" spans="1:5">
      <c r="A24" s="72"/>
      <c r="B24" s="73"/>
      <c r="C24" s="74">
        <f>SUBTOTAL(9,C22:C23)</f>
        <v>1514494.0499999998</v>
      </c>
      <c r="D24" s="83">
        <f>SUBTOTAL(9,D22:D23)</f>
        <v>3133290</v>
      </c>
      <c r="E24" s="64"/>
    </row>
    <row r="25" spans="1:5">
      <c r="A25" s="69" t="s">
        <v>21</v>
      </c>
      <c r="B25" s="70" t="s">
        <v>92</v>
      </c>
      <c r="C25" s="71">
        <v>0</v>
      </c>
      <c r="D25" s="84">
        <v>0</v>
      </c>
      <c r="E25" s="64"/>
    </row>
    <row r="26" spans="1:5">
      <c r="A26" s="72"/>
      <c r="B26" s="73"/>
      <c r="C26" s="74">
        <f>SUBTOTAL(9,C25)</f>
        <v>0</v>
      </c>
      <c r="D26" s="83">
        <f>SUBTOTAL(9,D25)</f>
        <v>0</v>
      </c>
      <c r="E26" s="64"/>
    </row>
    <row r="27" spans="1:5">
      <c r="A27" s="67" t="s">
        <v>19</v>
      </c>
      <c r="B27" s="70" t="s">
        <v>93</v>
      </c>
      <c r="C27" s="71">
        <v>0</v>
      </c>
      <c r="D27" s="84">
        <v>0</v>
      </c>
      <c r="E27" s="64"/>
    </row>
    <row r="28" spans="1:5">
      <c r="A28" s="66"/>
      <c r="B28" s="70" t="s">
        <v>94</v>
      </c>
      <c r="C28" s="71">
        <v>456820.85</v>
      </c>
      <c r="D28" s="84">
        <v>519135</v>
      </c>
      <c r="E28" s="64"/>
    </row>
    <row r="29" spans="1:5">
      <c r="A29" s="68"/>
      <c r="B29" s="70" t="s">
        <v>95</v>
      </c>
      <c r="C29" s="71">
        <v>0</v>
      </c>
      <c r="D29" s="84">
        <v>0</v>
      </c>
      <c r="E29" s="64"/>
    </row>
    <row r="30" spans="1:5">
      <c r="A30" s="72"/>
      <c r="B30" s="73"/>
      <c r="C30" s="74">
        <f>SUBTOTAL(9,C27:C29)</f>
        <v>456820.85</v>
      </c>
      <c r="D30" s="83">
        <f>SUBTOTAL(9,D27:D29)</f>
        <v>519135</v>
      </c>
      <c r="E30" s="64"/>
    </row>
    <row r="31" spans="1:5">
      <c r="A31" s="67" t="s">
        <v>6</v>
      </c>
      <c r="B31" s="70" t="s">
        <v>96</v>
      </c>
      <c r="C31" s="71">
        <v>373.77</v>
      </c>
      <c r="D31" s="84">
        <v>0</v>
      </c>
      <c r="E31" s="64"/>
    </row>
    <row r="32" spans="1:5">
      <c r="A32" s="68"/>
      <c r="B32" s="70" t="s">
        <v>97</v>
      </c>
      <c r="C32" s="71">
        <v>50969.16</v>
      </c>
      <c r="D32" s="84">
        <v>45000</v>
      </c>
      <c r="E32" s="64"/>
    </row>
    <row r="33" spans="1:5">
      <c r="A33" s="72"/>
      <c r="B33" s="73"/>
      <c r="C33" s="74">
        <f>SUBTOTAL(9,C31:C32)</f>
        <v>51342.93</v>
      </c>
      <c r="D33" s="83">
        <f>SUBTOTAL(9,D31:D32)</f>
        <v>45000</v>
      </c>
      <c r="E33" s="64"/>
    </row>
    <row r="34" spans="1:5">
      <c r="A34" s="79"/>
      <c r="B34" s="80"/>
      <c r="C34" s="81">
        <f>SUBTOTAL(9,C2:C33)</f>
        <v>146387183.31</v>
      </c>
      <c r="D34" s="82">
        <f>SUBTOTAL(9,D2:D33)</f>
        <v>156957414</v>
      </c>
      <c r="E34" s="64"/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6" sqref="E6"/>
    </sheetView>
  </sheetViews>
  <sheetFormatPr defaultColWidth="12.625" defaultRowHeight="12.75"/>
  <cols>
    <col min="1" max="1" width="17.5" style="92" bestFit="1" customWidth="1"/>
    <col min="2" max="2" width="23.375" style="92" bestFit="1" customWidth="1"/>
    <col min="3" max="4" width="13.5" style="92" bestFit="1" customWidth="1"/>
    <col min="5" max="5" width="14.625" style="92" customWidth="1"/>
    <col min="6" max="16384" width="12.625" style="92"/>
  </cols>
  <sheetData>
    <row r="1" spans="1:6" ht="13.5" customHeight="1">
      <c r="A1" s="104" t="s">
        <v>103</v>
      </c>
      <c r="B1" s="104" t="s">
        <v>60</v>
      </c>
      <c r="C1" s="105" t="s">
        <v>104</v>
      </c>
      <c r="D1" s="105" t="s">
        <v>105</v>
      </c>
      <c r="E1" s="106" t="s">
        <v>106</v>
      </c>
      <c r="F1" s="91"/>
    </row>
    <row r="2" spans="1:6" ht="15" customHeight="1">
      <c r="A2" s="93">
        <v>80</v>
      </c>
      <c r="B2" s="94" t="s">
        <v>11</v>
      </c>
      <c r="C2" s="101">
        <v>302496</v>
      </c>
      <c r="D2" s="101">
        <v>302973</v>
      </c>
      <c r="E2" s="102">
        <v>200368.58</v>
      </c>
      <c r="F2" s="91"/>
    </row>
    <row r="3" spans="1:6" ht="15" customHeight="1">
      <c r="A3" s="93">
        <v>76</v>
      </c>
      <c r="B3" s="94" t="s">
        <v>8</v>
      </c>
      <c r="C3" s="101">
        <v>411370</v>
      </c>
      <c r="D3" s="101">
        <v>449880</v>
      </c>
      <c r="E3" s="102">
        <v>383143.79</v>
      </c>
      <c r="F3" s="91"/>
    </row>
    <row r="4" spans="1:6" ht="15" customHeight="1">
      <c r="A4" s="93">
        <v>85</v>
      </c>
      <c r="B4" s="94" t="s">
        <v>107</v>
      </c>
      <c r="C4" s="101">
        <v>0</v>
      </c>
      <c r="D4" s="101">
        <v>0</v>
      </c>
      <c r="E4" s="102">
        <v>0</v>
      </c>
      <c r="F4" s="91"/>
    </row>
    <row r="5" spans="1:6" ht="15" customHeight="1">
      <c r="A5" s="93">
        <v>60</v>
      </c>
      <c r="B5" s="94" t="s">
        <v>9</v>
      </c>
      <c r="C5" s="101">
        <v>3263326</v>
      </c>
      <c r="D5" s="101">
        <v>3313660</v>
      </c>
      <c r="E5" s="102">
        <v>2193821.02</v>
      </c>
      <c r="F5" s="91"/>
    </row>
    <row r="6" spans="1:6" ht="15" customHeight="1">
      <c r="A6" s="93">
        <v>48</v>
      </c>
      <c r="B6" s="94" t="s">
        <v>50</v>
      </c>
      <c r="C6" s="101">
        <v>10604579</v>
      </c>
      <c r="D6" s="101">
        <v>10781418</v>
      </c>
      <c r="E6" s="102">
        <v>7648186.1399999997</v>
      </c>
      <c r="F6" s="91"/>
    </row>
    <row r="7" spans="1:6" ht="15" customHeight="1">
      <c r="A7" s="93">
        <v>41</v>
      </c>
      <c r="B7" s="94" t="s">
        <v>49</v>
      </c>
      <c r="C7" s="101">
        <v>36033186</v>
      </c>
      <c r="D7" s="101">
        <v>40213443</v>
      </c>
      <c r="E7" s="102">
        <v>19505690.91</v>
      </c>
      <c r="F7" s="91"/>
    </row>
    <row r="8" spans="1:6" ht="15" customHeight="1">
      <c r="A8" s="93">
        <v>72</v>
      </c>
      <c r="B8" s="94" t="s">
        <v>10</v>
      </c>
      <c r="C8" s="101">
        <v>11603014</v>
      </c>
      <c r="D8" s="101">
        <v>11603799</v>
      </c>
      <c r="E8" s="102">
        <v>7927464.3200000003</v>
      </c>
      <c r="F8" s="91"/>
    </row>
    <row r="9" spans="1:6" ht="15" customHeight="1">
      <c r="A9" s="93">
        <v>44</v>
      </c>
      <c r="B9" s="94" t="s">
        <v>52</v>
      </c>
      <c r="C9" s="101">
        <v>14742575</v>
      </c>
      <c r="D9" s="101">
        <v>14758331</v>
      </c>
      <c r="E9" s="102">
        <v>10275613.33</v>
      </c>
      <c r="F9" s="91"/>
    </row>
    <row r="10" spans="1:6" ht="15" customHeight="1">
      <c r="A10" s="93">
        <v>52</v>
      </c>
      <c r="B10" s="94" t="s">
        <v>53</v>
      </c>
      <c r="C10" s="101">
        <v>10775827</v>
      </c>
      <c r="D10" s="101">
        <v>10779624</v>
      </c>
      <c r="E10" s="102">
        <v>7817873.0199999996</v>
      </c>
      <c r="F10" s="91"/>
    </row>
    <row r="11" spans="1:6" ht="15" customHeight="1">
      <c r="A11" s="93">
        <v>56</v>
      </c>
      <c r="B11" s="94" t="s">
        <v>7</v>
      </c>
      <c r="C11" s="101">
        <v>10781064</v>
      </c>
      <c r="D11" s="101">
        <v>10820910</v>
      </c>
      <c r="E11" s="102">
        <v>6861788.5899999999</v>
      </c>
      <c r="F11" s="91"/>
    </row>
    <row r="12" spans="1:6" ht="15" customHeight="1">
      <c r="A12" s="93">
        <v>64</v>
      </c>
      <c r="B12" s="94" t="s">
        <v>51</v>
      </c>
      <c r="C12" s="101">
        <v>45971504</v>
      </c>
      <c r="D12" s="101">
        <v>46233637</v>
      </c>
      <c r="E12" s="102">
        <v>33909150.039999999</v>
      </c>
      <c r="F12" s="91"/>
    </row>
    <row r="13" spans="1:6" ht="15" customHeight="1">
      <c r="A13" s="93">
        <v>68</v>
      </c>
      <c r="B13" s="94" t="s">
        <v>108</v>
      </c>
      <c r="C13" s="101">
        <v>0</v>
      </c>
      <c r="D13" s="101">
        <v>0</v>
      </c>
      <c r="E13" s="102">
        <v>0</v>
      </c>
      <c r="F13" s="91"/>
    </row>
    <row r="14" spans="1:6" ht="15" customHeight="1">
      <c r="A14" s="95">
        <v>88</v>
      </c>
      <c r="B14" s="96" t="s">
        <v>12</v>
      </c>
      <c r="C14" s="101">
        <v>8370000</v>
      </c>
      <c r="D14" s="101">
        <v>8420000</v>
      </c>
      <c r="E14" s="102">
        <v>8420000</v>
      </c>
      <c r="F14" s="91"/>
    </row>
    <row r="15" spans="1:6" ht="12.75" customHeight="1">
      <c r="A15" s="97"/>
      <c r="B15" s="91"/>
      <c r="C15" s="98">
        <f>SUBTOTAL(9,C2:C14)</f>
        <v>152858941</v>
      </c>
      <c r="D15" s="98">
        <f>SUBTOTAL(9,D2:D14)</f>
        <v>157677675</v>
      </c>
      <c r="E15" s="98">
        <f>SUBTOTAL(9,E2:E14)</f>
        <v>105143099.74000001</v>
      </c>
      <c r="F15" s="91"/>
    </row>
    <row r="16" spans="1:6" ht="14.25" customHeight="1">
      <c r="A16" s="99"/>
      <c r="B16" s="100"/>
      <c r="C16" s="100"/>
      <c r="D16" s="100"/>
      <c r="E16" s="103"/>
      <c r="F16" s="91"/>
    </row>
    <row r="17" spans="1:6" ht="242.25" customHeight="1">
      <c r="A17" s="91"/>
      <c r="B17" s="91"/>
      <c r="C17" s="91"/>
      <c r="D17" s="91"/>
      <c r="E17" s="91"/>
      <c r="F17" s="9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zoomScaleNormal="100" workbookViewId="0">
      <selection activeCell="B1" sqref="B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1.25" style="2" customWidth="1"/>
    <col min="12" max="12" width="14.875" style="2" customWidth="1"/>
    <col min="13" max="13" width="10.25" style="2" customWidth="1"/>
    <col min="14" max="14" width="14" style="2" bestFit="1" customWidth="1"/>
    <col min="15" max="15" width="12" style="2" customWidth="1"/>
    <col min="16" max="16" width="10.25" style="2" customWidth="1"/>
    <col min="17" max="17" width="11.5" style="2" customWidth="1"/>
    <col min="18" max="18" width="11.125" style="2" bestFit="1" customWidth="1"/>
    <col min="19" max="19" width="15" style="2" customWidth="1"/>
    <col min="20" max="20" width="11.875" style="2" customWidth="1"/>
    <col min="21" max="21" width="12.5" style="2" bestFit="1" customWidth="1"/>
    <col min="22" max="22" width="12.5" style="2" customWidth="1"/>
    <col min="23" max="23" width="12.5" style="2" bestFit="1" customWidth="1"/>
    <col min="24" max="24" width="11.125" style="2" bestFit="1" customWidth="1"/>
    <col min="25" max="26" width="12.625" style="2" customWidth="1"/>
    <col min="27" max="27" width="14.75" style="2" customWidth="1"/>
    <col min="28" max="28" width="14.125" style="2" customWidth="1"/>
    <col min="29" max="29" width="12.5" style="2" bestFit="1" customWidth="1"/>
    <col min="30" max="30" width="14" style="2" customWidth="1"/>
    <col min="31" max="31" width="13.375" style="2" customWidth="1"/>
    <col min="32" max="32" width="11.875" style="2" customWidth="1"/>
    <col min="33" max="33" width="12.75" style="2" customWidth="1"/>
    <col min="34" max="34" width="9" style="2"/>
    <col min="35" max="35" width="14.125" style="2" customWidth="1"/>
    <col min="36" max="36" width="9" style="2"/>
    <col min="37" max="37" width="13.5" style="2" customWidth="1"/>
    <col min="38" max="16384" width="9" style="2"/>
  </cols>
  <sheetData>
    <row r="1" spans="1:32" ht="15.95" customHeight="1">
      <c r="E1" s="3"/>
      <c r="F1" s="196" t="s">
        <v>23</v>
      </c>
    </row>
    <row r="2" spans="1:32" ht="15.95" customHeight="1">
      <c r="E2" s="3"/>
      <c r="F2" s="196" t="s">
        <v>56</v>
      </c>
    </row>
    <row r="3" spans="1:32" ht="15.95" customHeight="1">
      <c r="B3" s="202" t="s">
        <v>43</v>
      </c>
      <c r="C3" s="202"/>
      <c r="D3" s="202"/>
      <c r="E3" s="3"/>
      <c r="F3" s="196" t="s">
        <v>57</v>
      </c>
    </row>
    <row r="4" spans="1:32" ht="15.95" customHeight="1">
      <c r="E4" s="3"/>
      <c r="F4" s="196" t="s">
        <v>58</v>
      </c>
    </row>
    <row r="5" spans="1:32" ht="15.95" customHeight="1">
      <c r="E5" s="3"/>
      <c r="F5" s="196" t="s">
        <v>24</v>
      </c>
    </row>
    <row r="6" spans="1:32" ht="16.5">
      <c r="A6" s="4"/>
      <c r="B6" s="4"/>
      <c r="C6" s="4"/>
      <c r="D6" s="5"/>
      <c r="E6" s="5"/>
      <c r="F6" s="197"/>
    </row>
    <row r="7" spans="1:32" ht="15.75">
      <c r="D7" s="3"/>
      <c r="E7" s="3"/>
    </row>
    <row r="8" spans="1:32" ht="19.5" customHeight="1">
      <c r="A8" s="182" t="s">
        <v>225</v>
      </c>
      <c r="B8" s="183" t="s">
        <v>39</v>
      </c>
      <c r="C8" s="183"/>
      <c r="D8" s="183"/>
      <c r="E8" s="183"/>
      <c r="F8" s="183"/>
    </row>
    <row r="9" spans="1:32" ht="19.5" customHeight="1">
      <c r="A9" s="182" t="s">
        <v>226</v>
      </c>
      <c r="B9" s="183" t="s">
        <v>98</v>
      </c>
      <c r="C9" s="183"/>
      <c r="D9" s="183"/>
      <c r="E9" s="183"/>
      <c r="F9" s="183"/>
    </row>
    <row r="10" spans="1:32" ht="19.5" customHeight="1">
      <c r="A10" s="182" t="s">
        <v>227</v>
      </c>
      <c r="B10" s="184">
        <v>41470</v>
      </c>
      <c r="C10" s="183"/>
      <c r="D10" s="183"/>
      <c r="E10" s="183"/>
      <c r="F10" s="183"/>
    </row>
    <row r="11" spans="1:32" ht="19.5" customHeight="1">
      <c r="A11" s="182" t="s">
        <v>228</v>
      </c>
      <c r="B11" s="183" t="s">
        <v>235</v>
      </c>
      <c r="C11" s="183"/>
      <c r="D11" s="183"/>
      <c r="E11" s="183"/>
      <c r="F11" s="183"/>
    </row>
    <row r="12" spans="1:32" ht="15" customHeight="1">
      <c r="A12" s="182"/>
      <c r="B12" s="183"/>
      <c r="C12" s="183"/>
      <c r="D12" s="183"/>
      <c r="E12" s="183"/>
      <c r="F12" s="183"/>
    </row>
    <row r="13" spans="1:32" ht="9" customHeight="1">
      <c r="A13" s="203"/>
      <c r="B13" s="203"/>
      <c r="C13" s="203"/>
      <c r="D13" s="203"/>
      <c r="E13" s="203"/>
      <c r="F13" s="203"/>
    </row>
    <row r="14" spans="1:32" ht="18.75" customHeight="1">
      <c r="A14" s="204" t="s">
        <v>29</v>
      </c>
      <c r="B14" s="204"/>
      <c r="C14" s="204"/>
      <c r="D14" s="204"/>
      <c r="E14" s="204"/>
      <c r="F14" s="204"/>
    </row>
    <row r="15" spans="1:32" ht="9" customHeight="1">
      <c r="A15" s="183"/>
      <c r="B15" s="183"/>
      <c r="C15" s="183"/>
      <c r="D15" s="183"/>
      <c r="E15" s="183"/>
      <c r="F15" s="183"/>
      <c r="N15" s="134"/>
      <c r="O15" s="134"/>
      <c r="P15" s="134"/>
      <c r="Q15" s="134"/>
    </row>
    <row r="16" spans="1:32" ht="39">
      <c r="A16" s="205"/>
      <c r="B16" s="205"/>
      <c r="C16" s="185" t="s">
        <v>221</v>
      </c>
      <c r="D16" s="185" t="s">
        <v>236</v>
      </c>
      <c r="E16" s="185" t="s">
        <v>25</v>
      </c>
      <c r="F16" s="185" t="s">
        <v>239</v>
      </c>
      <c r="G16" s="10">
        <v>0.75</v>
      </c>
      <c r="H16" s="2" t="s">
        <v>44</v>
      </c>
      <c r="I16" s="10">
        <v>0.75</v>
      </c>
      <c r="K16" s="9" t="s">
        <v>221</v>
      </c>
      <c r="L16" s="9" t="s">
        <v>220</v>
      </c>
      <c r="M16" s="9">
        <v>2013</v>
      </c>
      <c r="N16" s="9" t="s">
        <v>183</v>
      </c>
      <c r="O16" s="9" t="s">
        <v>184</v>
      </c>
      <c r="P16" s="9">
        <v>2012</v>
      </c>
      <c r="Q16" s="9" t="s">
        <v>143</v>
      </c>
      <c r="R16" s="9" t="s">
        <v>202</v>
      </c>
      <c r="S16" s="9" t="s">
        <v>187</v>
      </c>
      <c r="T16" s="9">
        <v>2011</v>
      </c>
      <c r="U16" s="9" t="s">
        <v>99</v>
      </c>
      <c r="V16" s="9" t="s">
        <v>203</v>
      </c>
      <c r="W16" s="9" t="s">
        <v>142</v>
      </c>
      <c r="X16" s="9">
        <v>2010</v>
      </c>
      <c r="Y16" s="9" t="s">
        <v>1</v>
      </c>
      <c r="Z16" s="9" t="s">
        <v>129</v>
      </c>
      <c r="AA16" s="9" t="s">
        <v>113</v>
      </c>
      <c r="AB16" s="9">
        <v>2009</v>
      </c>
      <c r="AC16" s="9"/>
      <c r="AD16" s="9"/>
      <c r="AE16" s="9"/>
      <c r="AF16" s="9"/>
    </row>
    <row r="17" spans="1:32" ht="15.75" customHeight="1">
      <c r="A17" s="201" t="s">
        <v>26</v>
      </c>
      <c r="B17" s="201"/>
      <c r="C17" s="186">
        <f>K17</f>
        <v>127714748</v>
      </c>
      <c r="D17" s="186">
        <f>L17</f>
        <v>128308203</v>
      </c>
      <c r="E17" s="187">
        <f t="shared" ref="E17:E24" si="0">(D17/C17)</f>
        <v>1.0046467225539215</v>
      </c>
      <c r="F17" s="188">
        <f t="shared" ref="F17:F23" si="1">D17-G17</f>
        <v>32522142</v>
      </c>
      <c r="G17" s="14">
        <f>C17*0.75</f>
        <v>95786061</v>
      </c>
      <c r="H17" s="15">
        <v>0</v>
      </c>
      <c r="I17" s="10">
        <v>0.75</v>
      </c>
      <c r="J17" s="21" t="str">
        <f>A17</f>
        <v>Current / Delinquent Taxes</v>
      </c>
      <c r="K17" s="176">
        <v>127714748</v>
      </c>
      <c r="L17" s="176">
        <v>128308203</v>
      </c>
      <c r="M17" s="178">
        <f>L17/K17</f>
        <v>1.0046467225539215</v>
      </c>
      <c r="N17" s="165">
        <v>124011587</v>
      </c>
      <c r="O17" s="165">
        <v>124978868</v>
      </c>
      <c r="P17" s="171">
        <v>1.0077999243731959</v>
      </c>
      <c r="Q17" s="161">
        <v>130863490</v>
      </c>
      <c r="R17" s="161">
        <v>130320072</v>
      </c>
      <c r="S17" s="161"/>
      <c r="T17" s="12">
        <v>0.99204730497922822</v>
      </c>
      <c r="U17" s="11">
        <v>130450730</v>
      </c>
      <c r="V17" s="11">
        <v>129447511.40000001</v>
      </c>
      <c r="W17" s="166"/>
      <c r="X17" s="12">
        <v>0.99367755149214021</v>
      </c>
      <c r="Y17" s="11">
        <v>119221816</v>
      </c>
      <c r="Z17" s="11">
        <v>118519974.36000001</v>
      </c>
      <c r="AA17" s="11"/>
      <c r="AB17" s="12">
        <v>0.98782278418745428</v>
      </c>
      <c r="AC17" s="11"/>
      <c r="AD17" s="11"/>
      <c r="AE17" s="11"/>
      <c r="AF17" s="12"/>
    </row>
    <row r="18" spans="1:32" ht="15.75" customHeight="1">
      <c r="A18" s="201" t="s">
        <v>102</v>
      </c>
      <c r="B18" s="201"/>
      <c r="C18" s="189">
        <f t="shared" ref="C18:D23" si="2">K18</f>
        <v>279000</v>
      </c>
      <c r="D18" s="189">
        <f t="shared" si="2"/>
        <v>286722</v>
      </c>
      <c r="E18" s="187">
        <f>(D18/C18)</f>
        <v>1.0276774193548388</v>
      </c>
      <c r="F18" s="189">
        <f>D18-G18</f>
        <v>77472</v>
      </c>
      <c r="G18" s="14">
        <f t="shared" ref="G18:G24" si="3">C18*0.75</f>
        <v>209250</v>
      </c>
      <c r="H18" s="15">
        <v>0</v>
      </c>
      <c r="I18" s="10">
        <v>0.75</v>
      </c>
      <c r="J18" s="21" t="str">
        <f t="shared" ref="J18:J23" si="4">A18</f>
        <v>License / Permits</v>
      </c>
      <c r="K18" s="176">
        <v>279000</v>
      </c>
      <c r="L18" s="176">
        <v>286722</v>
      </c>
      <c r="M18" s="178">
        <f t="shared" ref="M18:M24" si="5">L18/K18</f>
        <v>1.0276774193548388</v>
      </c>
      <c r="N18" s="165">
        <v>4000</v>
      </c>
      <c r="O18" s="165">
        <v>3500</v>
      </c>
      <c r="P18" s="171">
        <v>0.875</v>
      </c>
      <c r="Q18" s="161">
        <v>4000</v>
      </c>
      <c r="R18" s="161">
        <v>5500</v>
      </c>
      <c r="S18" s="161"/>
      <c r="T18" s="12">
        <v>0.91666666666666663</v>
      </c>
      <c r="U18" s="16">
        <v>4000</v>
      </c>
      <c r="V18" s="28">
        <v>2500</v>
      </c>
      <c r="W18" s="165"/>
      <c r="X18" s="12">
        <v>1</v>
      </c>
      <c r="Y18" s="28">
        <v>4000</v>
      </c>
      <c r="Z18" s="28">
        <v>3500</v>
      </c>
      <c r="AA18" s="28"/>
      <c r="AB18" s="12">
        <v>0.875</v>
      </c>
      <c r="AC18" s="28"/>
      <c r="AD18" s="28"/>
      <c r="AE18" s="28"/>
      <c r="AF18" s="12"/>
    </row>
    <row r="19" spans="1:32" ht="15.75" customHeight="1">
      <c r="A19" s="201" t="s">
        <v>55</v>
      </c>
      <c r="B19" s="201"/>
      <c r="C19" s="189">
        <f t="shared" si="2"/>
        <v>3825422</v>
      </c>
      <c r="D19" s="189">
        <f t="shared" si="2"/>
        <v>3445149</v>
      </c>
      <c r="E19" s="187">
        <f t="shared" si="0"/>
        <v>0.90059318945726774</v>
      </c>
      <c r="F19" s="189">
        <f t="shared" si="1"/>
        <v>576082.5</v>
      </c>
      <c r="G19" s="14">
        <f t="shared" si="3"/>
        <v>2869066.5</v>
      </c>
      <c r="H19" s="27">
        <f t="shared" ref="H19:H22" si="6">C19-D19</f>
        <v>380273</v>
      </c>
      <c r="I19" s="10">
        <v>0.75</v>
      </c>
      <c r="J19" s="21" t="str">
        <f t="shared" si="4"/>
        <v>Intergovernmental Revenue</v>
      </c>
      <c r="K19" s="176">
        <v>3825422</v>
      </c>
      <c r="L19" s="176">
        <v>3445149</v>
      </c>
      <c r="M19" s="178">
        <f t="shared" si="5"/>
        <v>0.90059318945726774</v>
      </c>
      <c r="N19" s="165">
        <v>3186800</v>
      </c>
      <c r="O19" s="165">
        <v>3048041</v>
      </c>
      <c r="P19" s="171">
        <v>0.95645820258566583</v>
      </c>
      <c r="Q19" s="161">
        <v>3312377</v>
      </c>
      <c r="R19" s="161">
        <v>2449923</v>
      </c>
      <c r="S19" s="161"/>
      <c r="T19" s="12">
        <v>0.73000432950868566</v>
      </c>
      <c r="U19" s="16">
        <v>3547135</v>
      </c>
      <c r="V19" s="28">
        <v>2353506.14</v>
      </c>
      <c r="W19" s="165"/>
      <c r="X19" s="12">
        <v>0.60212515983714143</v>
      </c>
      <c r="Y19" s="28">
        <v>3678780</v>
      </c>
      <c r="Z19" s="28">
        <v>2231166.7399999998</v>
      </c>
      <c r="AA19" s="28"/>
      <c r="AB19" s="12">
        <v>0.55877596607035307</v>
      </c>
      <c r="AC19" s="28"/>
      <c r="AD19" s="28"/>
      <c r="AE19" s="28"/>
      <c r="AF19" s="12"/>
    </row>
    <row r="20" spans="1:32" ht="15.75" customHeight="1">
      <c r="A20" s="201" t="s">
        <v>2</v>
      </c>
      <c r="B20" s="201"/>
      <c r="C20" s="189">
        <f t="shared" si="2"/>
        <v>18262850</v>
      </c>
      <c r="D20" s="189">
        <f t="shared" si="2"/>
        <v>13890249</v>
      </c>
      <c r="E20" s="187">
        <f t="shared" si="0"/>
        <v>0.76057400679521547</v>
      </c>
      <c r="F20" s="189">
        <f t="shared" si="1"/>
        <v>193111.5</v>
      </c>
      <c r="G20" s="14">
        <f t="shared" si="3"/>
        <v>13697137.5</v>
      </c>
      <c r="H20" s="27">
        <f t="shared" si="6"/>
        <v>4372601</v>
      </c>
      <c r="I20" s="10">
        <v>0.75</v>
      </c>
      <c r="J20" s="21" t="str">
        <f t="shared" si="4"/>
        <v>Fees/Charges for Services</v>
      </c>
      <c r="K20" s="176">
        <v>18262850</v>
      </c>
      <c r="L20" s="176">
        <v>13890249</v>
      </c>
      <c r="M20" s="178">
        <f t="shared" si="5"/>
        <v>0.76057400679521547</v>
      </c>
      <c r="N20" s="165">
        <v>16144661</v>
      </c>
      <c r="O20" s="165">
        <v>12950241</v>
      </c>
      <c r="P20" s="171">
        <v>0.80213768502169236</v>
      </c>
      <c r="Q20" s="161">
        <v>15205012</v>
      </c>
      <c r="R20" s="161">
        <v>11565808</v>
      </c>
      <c r="S20" s="161"/>
      <c r="T20" s="12">
        <v>0.73429379743808099</v>
      </c>
      <c r="U20" s="16">
        <v>16957104</v>
      </c>
      <c r="V20" s="28">
        <v>11247465.740000002</v>
      </c>
      <c r="W20" s="165"/>
      <c r="X20" s="12">
        <v>0.73913405491261974</v>
      </c>
      <c r="Y20" s="28">
        <v>19143500</v>
      </c>
      <c r="Z20" s="28">
        <v>11414629.09</v>
      </c>
      <c r="AA20" s="28"/>
      <c r="AB20" s="12">
        <v>0.72013515453758148</v>
      </c>
      <c r="AC20" s="28"/>
      <c r="AD20" s="28"/>
      <c r="AE20" s="28"/>
      <c r="AF20" s="12"/>
    </row>
    <row r="21" spans="1:32" ht="15.75" customHeight="1">
      <c r="A21" s="201" t="s">
        <v>4</v>
      </c>
      <c r="B21" s="201"/>
      <c r="C21" s="189">
        <f t="shared" si="2"/>
        <v>1962155</v>
      </c>
      <c r="D21" s="189">
        <f t="shared" si="2"/>
        <v>1651915</v>
      </c>
      <c r="E21" s="187">
        <f t="shared" si="0"/>
        <v>0.84188812810404889</v>
      </c>
      <c r="F21" s="189">
        <f t="shared" si="1"/>
        <v>180298.75</v>
      </c>
      <c r="G21" s="14">
        <f t="shared" si="3"/>
        <v>1471616.25</v>
      </c>
      <c r="H21" s="27">
        <f t="shared" si="6"/>
        <v>310240</v>
      </c>
      <c r="I21" s="10">
        <v>0.75</v>
      </c>
      <c r="J21" s="21" t="str">
        <f t="shared" si="4"/>
        <v>Fines</v>
      </c>
      <c r="K21" s="176">
        <v>1962155</v>
      </c>
      <c r="L21" s="176">
        <v>1651915</v>
      </c>
      <c r="M21" s="178">
        <f t="shared" si="5"/>
        <v>0.84188812810404889</v>
      </c>
      <c r="N21" s="165">
        <v>1881000</v>
      </c>
      <c r="O21" s="165">
        <v>1564760</v>
      </c>
      <c r="P21" s="171">
        <v>0.83187666135034555</v>
      </c>
      <c r="Q21" s="161">
        <v>1748000</v>
      </c>
      <c r="R21" s="161">
        <v>1422963</v>
      </c>
      <c r="S21" s="161"/>
      <c r="T21" s="12">
        <v>0.71409831326897411</v>
      </c>
      <c r="U21" s="16">
        <v>2301020</v>
      </c>
      <c r="V21" s="28">
        <v>1313542.2</v>
      </c>
      <c r="W21" s="165"/>
      <c r="X21" s="12">
        <v>0.72115154346726862</v>
      </c>
      <c r="Y21" s="28">
        <v>2771000</v>
      </c>
      <c r="Z21" s="28">
        <v>1711633.2800000003</v>
      </c>
      <c r="AA21" s="28"/>
      <c r="AB21" s="12">
        <v>0.75389423662365773</v>
      </c>
      <c r="AC21" s="28"/>
      <c r="AD21" s="28"/>
      <c r="AE21" s="28"/>
      <c r="AF21" s="12"/>
    </row>
    <row r="22" spans="1:32" ht="15.75" customHeight="1">
      <c r="A22" s="201" t="s">
        <v>3</v>
      </c>
      <c r="B22" s="201"/>
      <c r="C22" s="189">
        <f t="shared" si="2"/>
        <v>1536481</v>
      </c>
      <c r="D22" s="189">
        <f t="shared" si="2"/>
        <v>238785</v>
      </c>
      <c r="E22" s="187">
        <f t="shared" si="0"/>
        <v>0.15541031747219783</v>
      </c>
      <c r="F22" s="189">
        <f t="shared" si="1"/>
        <v>-913575.75</v>
      </c>
      <c r="G22" s="14">
        <f t="shared" si="3"/>
        <v>1152360.75</v>
      </c>
      <c r="H22" s="27">
        <f t="shared" si="6"/>
        <v>1297696</v>
      </c>
      <c r="I22" s="10">
        <v>0.75</v>
      </c>
      <c r="J22" s="21" t="str">
        <f t="shared" si="4"/>
        <v>Investment Revenue</v>
      </c>
      <c r="K22" s="176">
        <v>1536481</v>
      </c>
      <c r="L22" s="176">
        <v>238785</v>
      </c>
      <c r="M22" s="178">
        <f t="shared" si="5"/>
        <v>0.15541031747219783</v>
      </c>
      <c r="N22" s="165">
        <v>2019600</v>
      </c>
      <c r="O22" s="165">
        <v>715819</v>
      </c>
      <c r="P22" s="171">
        <v>0.35443602693602694</v>
      </c>
      <c r="Q22" s="161">
        <v>1119600</v>
      </c>
      <c r="R22" s="161">
        <v>1363086</v>
      </c>
      <c r="S22" s="161"/>
      <c r="T22" s="12">
        <v>0.66805300565677284</v>
      </c>
      <c r="U22" s="16">
        <v>3133290</v>
      </c>
      <c r="V22" s="28">
        <v>1514494.0499999998</v>
      </c>
      <c r="W22" s="165"/>
      <c r="X22" s="12">
        <v>0.69082899805454123</v>
      </c>
      <c r="Y22" s="28">
        <v>5168400</v>
      </c>
      <c r="Z22" s="28">
        <v>2501728.25</v>
      </c>
      <c r="AA22" s="28"/>
      <c r="AB22" s="12">
        <v>0.72340580418383327</v>
      </c>
      <c r="AC22" s="28"/>
      <c r="AD22" s="28"/>
      <c r="AE22" s="28"/>
      <c r="AF22" s="12"/>
    </row>
    <row r="23" spans="1:32" ht="15.75" customHeight="1" thickBot="1">
      <c r="A23" s="201" t="s">
        <v>27</v>
      </c>
      <c r="B23" s="201"/>
      <c r="C23" s="189">
        <f t="shared" si="2"/>
        <v>526000</v>
      </c>
      <c r="D23" s="189">
        <f t="shared" si="2"/>
        <v>2381921</v>
      </c>
      <c r="E23" s="187">
        <f t="shared" si="0"/>
        <v>4.5283669201520915</v>
      </c>
      <c r="F23" s="189">
        <f t="shared" si="1"/>
        <v>1987421</v>
      </c>
      <c r="G23" s="14">
        <f t="shared" si="3"/>
        <v>394500</v>
      </c>
      <c r="H23" s="27">
        <v>0</v>
      </c>
      <c r="I23" s="10">
        <v>0.75</v>
      </c>
      <c r="J23" s="21" t="str">
        <f t="shared" si="4"/>
        <v>Miscellaneous</v>
      </c>
      <c r="K23" s="177">
        <v>526000</v>
      </c>
      <c r="L23" s="177">
        <f>1176+781353+1599392</f>
        <v>2381921</v>
      </c>
      <c r="M23" s="179">
        <f t="shared" si="5"/>
        <v>4.5283669201520915</v>
      </c>
      <c r="N23" s="167">
        <v>547000</v>
      </c>
      <c r="O23" s="167">
        <v>524218</v>
      </c>
      <c r="P23" s="174">
        <v>0.95835100548446073</v>
      </c>
      <c r="Q23" s="162">
        <v>463840</v>
      </c>
      <c r="R23" s="162">
        <v>598474</v>
      </c>
      <c r="S23" s="162"/>
      <c r="T23" s="152">
        <v>0.78505484472685205</v>
      </c>
      <c r="U23" s="117">
        <v>564135</v>
      </c>
      <c r="V23" s="118">
        <v>508163.77999999997</v>
      </c>
      <c r="W23" s="167"/>
      <c r="X23" s="152">
        <v>0.63968330775844373</v>
      </c>
      <c r="Y23" s="118">
        <v>499810</v>
      </c>
      <c r="Z23" s="118">
        <v>450451.88</v>
      </c>
      <c r="AA23" s="118"/>
      <c r="AB23" s="152">
        <v>0.43335973855177928</v>
      </c>
      <c r="AC23" s="118"/>
      <c r="AD23" s="118"/>
      <c r="AE23" s="118"/>
      <c r="AF23" s="152"/>
    </row>
    <row r="24" spans="1:32" ht="15.75" customHeight="1" thickBot="1">
      <c r="A24" s="208" t="s">
        <v>28</v>
      </c>
      <c r="B24" s="208"/>
      <c r="C24" s="186">
        <f>SUM(C17:C23)</f>
        <v>154106656</v>
      </c>
      <c r="D24" s="186">
        <f>SUM(D17:D23)</f>
        <v>150202944</v>
      </c>
      <c r="E24" s="187">
        <f t="shared" si="0"/>
        <v>0.97466876446919981</v>
      </c>
      <c r="F24" s="190">
        <f>SUM(F17:F23)</f>
        <v>34622952</v>
      </c>
      <c r="G24" s="14">
        <f t="shared" si="3"/>
        <v>115579992</v>
      </c>
      <c r="H24" s="27"/>
      <c r="J24" s="21"/>
      <c r="K24" s="172">
        <f>SUM(K17:K23)</f>
        <v>154106656</v>
      </c>
      <c r="L24" s="172">
        <f>SUM(L17:L23)</f>
        <v>150202944</v>
      </c>
      <c r="M24" s="180">
        <f t="shared" si="5"/>
        <v>0.97466876446919981</v>
      </c>
      <c r="N24" s="172">
        <v>147794648</v>
      </c>
      <c r="O24" s="172">
        <v>143785447</v>
      </c>
      <c r="P24" s="173">
        <v>0.97287316520419598</v>
      </c>
      <c r="Q24" s="164">
        <v>152716319</v>
      </c>
      <c r="R24" s="160">
        <v>147725826</v>
      </c>
      <c r="S24" s="160"/>
      <c r="T24" s="153">
        <v>0.95139334890602101</v>
      </c>
      <c r="U24" s="116">
        <v>156957414</v>
      </c>
      <c r="V24" s="116">
        <v>146387183.31</v>
      </c>
      <c r="W24" s="116"/>
      <c r="X24" s="153">
        <v>0.94928686887080027</v>
      </c>
      <c r="Y24" s="116">
        <v>150487306</v>
      </c>
      <c r="Z24" s="116">
        <v>136833083.60000002</v>
      </c>
      <c r="AA24" s="116"/>
      <c r="AB24" s="153">
        <v>0.93339790428560632</v>
      </c>
      <c r="AC24" s="116"/>
      <c r="AD24" s="116"/>
      <c r="AE24" s="116"/>
      <c r="AF24" s="153"/>
    </row>
    <row r="25" spans="1:32" ht="22.5" customHeight="1" thickTop="1">
      <c r="A25" s="183"/>
      <c r="B25" s="183"/>
      <c r="C25" s="183"/>
      <c r="D25" s="183"/>
      <c r="E25" s="183"/>
      <c r="F25" s="183"/>
      <c r="J25" s="21"/>
      <c r="K25" s="21"/>
      <c r="L25" s="21"/>
      <c r="M25" s="21"/>
      <c r="N25" s="26"/>
    </row>
    <row r="26" spans="1:32" ht="15.75">
      <c r="A26" s="183"/>
      <c r="B26" s="183"/>
      <c r="C26" s="183"/>
      <c r="D26" s="183"/>
      <c r="E26" s="183"/>
      <c r="F26" s="183"/>
      <c r="J26" s="21"/>
      <c r="K26" s="21"/>
      <c r="L26" s="21"/>
      <c r="M26" s="21"/>
      <c r="N26" s="26"/>
    </row>
    <row r="27" spans="1:32" ht="15.75">
      <c r="A27" s="183"/>
      <c r="B27" s="183"/>
      <c r="C27" s="183"/>
      <c r="D27" s="183"/>
      <c r="E27" s="183"/>
      <c r="F27" s="183"/>
    </row>
    <row r="28" spans="1:32" ht="15.75">
      <c r="A28" s="183"/>
      <c r="B28" s="183"/>
      <c r="C28" s="183"/>
      <c r="D28" s="183"/>
      <c r="E28" s="183"/>
      <c r="F28" s="183"/>
    </row>
    <row r="29" spans="1:32" ht="15.75">
      <c r="A29" s="183"/>
      <c r="B29" s="183"/>
      <c r="C29" s="183"/>
      <c r="D29" s="183"/>
      <c r="E29" s="183"/>
      <c r="F29" s="183"/>
    </row>
    <row r="30" spans="1:32" ht="15.75">
      <c r="A30" s="183"/>
      <c r="B30" s="183"/>
      <c r="C30" s="183"/>
      <c r="D30" s="183"/>
      <c r="E30" s="183"/>
      <c r="F30" s="183"/>
    </row>
    <row r="31" spans="1:32" ht="15.75">
      <c r="A31" s="183"/>
      <c r="B31" s="183"/>
      <c r="C31" s="183"/>
      <c r="D31" s="183"/>
      <c r="E31" s="183"/>
      <c r="F31" s="183"/>
      <c r="H31" s="15"/>
    </row>
    <row r="32" spans="1:32" ht="15.75">
      <c r="A32" s="183"/>
      <c r="B32" s="183"/>
      <c r="C32" s="183"/>
      <c r="D32" s="183"/>
      <c r="E32" s="183"/>
      <c r="F32" s="183"/>
      <c r="H32" s="14"/>
    </row>
    <row r="33" spans="1:37" ht="15.75">
      <c r="A33" s="183"/>
      <c r="B33" s="183"/>
      <c r="C33" s="183"/>
      <c r="D33" s="183"/>
      <c r="E33" s="183"/>
      <c r="F33" s="183"/>
    </row>
    <row r="34" spans="1:37" ht="15.75">
      <c r="A34" s="183"/>
      <c r="B34" s="183"/>
      <c r="C34" s="183"/>
      <c r="D34" s="183"/>
      <c r="E34" s="183"/>
      <c r="F34" s="183"/>
    </row>
    <row r="35" spans="1:37" ht="15.75">
      <c r="A35" s="183"/>
      <c r="B35" s="183"/>
      <c r="C35" s="183"/>
      <c r="D35" s="183"/>
      <c r="E35" s="183"/>
      <c r="F35" s="183"/>
    </row>
    <row r="36" spans="1:37" ht="15.75">
      <c r="A36" s="183"/>
      <c r="B36" s="183"/>
      <c r="C36" s="183"/>
      <c r="D36" s="183"/>
      <c r="E36" s="183"/>
      <c r="F36" s="183"/>
    </row>
    <row r="37" spans="1:37" ht="15.75">
      <c r="A37" s="183"/>
      <c r="B37" s="183"/>
      <c r="C37" s="183"/>
      <c r="D37" s="183"/>
      <c r="E37" s="183"/>
      <c r="F37" s="183"/>
    </row>
    <row r="38" spans="1:37" ht="15.75">
      <c r="A38" s="183"/>
      <c r="B38" s="183"/>
      <c r="C38" s="183"/>
      <c r="D38" s="183"/>
      <c r="E38" s="183"/>
      <c r="F38" s="183"/>
    </row>
    <row r="39" spans="1:37" ht="15.75">
      <c r="A39" s="183"/>
      <c r="B39" s="183"/>
      <c r="C39" s="183"/>
      <c r="D39" s="183"/>
      <c r="E39" s="183"/>
      <c r="F39" s="183"/>
    </row>
    <row r="40" spans="1:37" ht="15.75">
      <c r="A40" s="183"/>
      <c r="B40" s="183"/>
      <c r="C40" s="183"/>
      <c r="D40" s="183"/>
      <c r="E40" s="183"/>
      <c r="F40" s="183"/>
      <c r="J40" s="135"/>
      <c r="K40" s="135"/>
      <c r="L40" s="135"/>
      <c r="M40" s="135"/>
      <c r="N40" s="135"/>
    </row>
    <row r="41" spans="1:37" ht="15.75">
      <c r="A41" s="183"/>
      <c r="B41" s="183"/>
      <c r="C41" s="183"/>
      <c r="D41" s="183"/>
      <c r="E41" s="183"/>
      <c r="F41" s="183"/>
      <c r="J41" s="135"/>
      <c r="K41" s="135"/>
      <c r="L41" s="135"/>
      <c r="M41" s="135"/>
      <c r="N41" s="135"/>
    </row>
    <row r="42" spans="1:37" ht="15.75">
      <c r="A42" s="183"/>
      <c r="B42" s="183"/>
      <c r="C42" s="183"/>
      <c r="D42" s="183"/>
      <c r="E42" s="183"/>
      <c r="F42" s="183"/>
      <c r="J42" s="135"/>
      <c r="K42" s="135"/>
      <c r="L42" s="135"/>
      <c r="M42" s="135"/>
      <c r="N42" s="135"/>
    </row>
    <row r="43" spans="1:37" ht="15.75">
      <c r="A43" s="183"/>
      <c r="B43" s="183"/>
      <c r="C43" s="183"/>
      <c r="D43" s="183"/>
      <c r="E43" s="183"/>
      <c r="F43" s="183"/>
      <c r="J43" s="135"/>
      <c r="K43" s="135"/>
      <c r="L43" s="135"/>
      <c r="M43" s="135"/>
      <c r="N43" s="135"/>
    </row>
    <row r="44" spans="1:37" ht="15.75">
      <c r="A44" s="183"/>
      <c r="B44" s="183"/>
      <c r="C44" s="183"/>
      <c r="D44" s="183"/>
      <c r="E44" s="183"/>
      <c r="F44" s="183"/>
      <c r="J44" s="135"/>
      <c r="K44" s="135"/>
      <c r="L44" s="135"/>
      <c r="M44" s="135"/>
      <c r="N44" s="135"/>
    </row>
    <row r="45" spans="1:37" ht="15.75">
      <c r="A45" s="183"/>
      <c r="B45" s="183"/>
      <c r="C45" s="183"/>
      <c r="D45" s="183"/>
      <c r="E45" s="183"/>
      <c r="F45" s="183"/>
      <c r="J45" s="135"/>
      <c r="K45" s="135"/>
      <c r="L45" s="135"/>
      <c r="M45" s="135"/>
      <c r="N45" s="135"/>
    </row>
    <row r="46" spans="1:37" ht="33" customHeight="1">
      <c r="A46" s="204" t="s">
        <v>37</v>
      </c>
      <c r="B46" s="204"/>
      <c r="C46" s="204"/>
      <c r="D46" s="204"/>
      <c r="E46" s="204"/>
      <c r="F46" s="204"/>
      <c r="J46" s="135"/>
      <c r="K46" s="135"/>
      <c r="L46" s="135"/>
      <c r="M46" s="135"/>
      <c r="N46" s="135"/>
    </row>
    <row r="47" spans="1:37" ht="12" customHeight="1">
      <c r="A47" s="183"/>
      <c r="B47" s="181"/>
      <c r="C47" s="181"/>
      <c r="D47" s="181"/>
      <c r="E47" s="181"/>
      <c r="F47" s="183"/>
      <c r="J47" s="135"/>
      <c r="K47" s="135"/>
      <c r="L47" s="135"/>
      <c r="M47" s="135"/>
      <c r="N47" s="135"/>
    </row>
    <row r="48" spans="1:37" ht="36" customHeight="1">
      <c r="A48" s="209"/>
      <c r="B48" s="209"/>
      <c r="C48" s="199" t="s">
        <v>221</v>
      </c>
      <c r="D48" s="199" t="s">
        <v>237</v>
      </c>
      <c r="E48" s="199" t="s">
        <v>25</v>
      </c>
      <c r="F48" s="185" t="s">
        <v>239</v>
      </c>
      <c r="G48" s="10">
        <v>0.75</v>
      </c>
      <c r="H48" s="2" t="s">
        <v>45</v>
      </c>
      <c r="K48" s="154" t="s">
        <v>221</v>
      </c>
      <c r="L48" s="150" t="s">
        <v>240</v>
      </c>
      <c r="M48" s="151">
        <v>2013</v>
      </c>
      <c r="N48" s="154" t="s">
        <v>183</v>
      </c>
      <c r="O48" s="150" t="s">
        <v>204</v>
      </c>
      <c r="P48" s="151">
        <v>2012</v>
      </c>
      <c r="Q48" s="150" t="s">
        <v>189</v>
      </c>
      <c r="R48" s="154" t="s">
        <v>143</v>
      </c>
      <c r="S48" s="150" t="s">
        <v>167</v>
      </c>
      <c r="T48" s="151">
        <v>2011</v>
      </c>
      <c r="U48" s="150" t="s">
        <v>147</v>
      </c>
      <c r="V48" s="154" t="s">
        <v>99</v>
      </c>
      <c r="W48" s="150" t="s">
        <v>205</v>
      </c>
      <c r="X48" s="151">
        <v>2010</v>
      </c>
      <c r="Y48" s="150" t="s">
        <v>116</v>
      </c>
      <c r="Z48" s="150" t="s">
        <v>1</v>
      </c>
      <c r="AA48" s="150" t="s">
        <v>131</v>
      </c>
      <c r="AB48" s="151">
        <v>2009</v>
      </c>
      <c r="AC48" s="150" t="s">
        <v>118</v>
      </c>
      <c r="AD48" s="150">
        <v>2009</v>
      </c>
      <c r="AE48" s="150" t="s">
        <v>119</v>
      </c>
      <c r="AF48" s="150"/>
      <c r="AG48" s="150"/>
      <c r="AH48" s="151"/>
      <c r="AI48" s="150"/>
      <c r="AJ48" s="150"/>
      <c r="AK48" s="150"/>
    </row>
    <row r="49" spans="1:37" ht="15.75" customHeight="1">
      <c r="A49" s="206" t="s">
        <v>30</v>
      </c>
      <c r="B49" s="207"/>
      <c r="C49" s="186">
        <f>K49</f>
        <v>262787</v>
      </c>
      <c r="D49" s="186">
        <f>L49</f>
        <v>172362</v>
      </c>
      <c r="E49" s="187">
        <f t="shared" ref="E49:E60" si="7">(D49/C49)</f>
        <v>0.65590002549593396</v>
      </c>
      <c r="F49" s="186">
        <f>+G49-D49</f>
        <v>24728.25</v>
      </c>
      <c r="G49" s="23">
        <f>C49*0.75</f>
        <v>197090.25</v>
      </c>
      <c r="H49" s="24">
        <f t="shared" ref="H49:H57" si="8">C49-D49</f>
        <v>90425</v>
      </c>
      <c r="I49" s="1">
        <v>0.75</v>
      </c>
      <c r="J49" s="135" t="s">
        <v>30</v>
      </c>
      <c r="K49" s="13">
        <v>262787</v>
      </c>
      <c r="L49" s="13">
        <v>172362</v>
      </c>
      <c r="M49" s="155">
        <f t="shared" ref="M49:M60" si="9">(L49/K49)</f>
        <v>0.65590002549593396</v>
      </c>
      <c r="N49" s="13">
        <v>260248</v>
      </c>
      <c r="O49" s="13">
        <v>182160</v>
      </c>
      <c r="P49" s="155">
        <v>0.69994774215363809</v>
      </c>
      <c r="Q49" s="13"/>
      <c r="R49" s="13">
        <v>315395</v>
      </c>
      <c r="S49" s="13">
        <v>213324</v>
      </c>
      <c r="T49" s="155">
        <v>0.6763708999825615</v>
      </c>
      <c r="U49" s="13"/>
      <c r="V49" s="13">
        <v>302496</v>
      </c>
      <c r="W49" s="13">
        <v>200368.58</v>
      </c>
      <c r="X49" s="155">
        <v>0.66238422987411405</v>
      </c>
      <c r="Y49" s="13"/>
      <c r="Z49" s="13">
        <v>307595</v>
      </c>
      <c r="AA49" s="13">
        <v>188469.08000000002</v>
      </c>
      <c r="AB49" s="155">
        <v>0.61271828215673207</v>
      </c>
      <c r="AC49" s="13"/>
      <c r="AD49" s="155">
        <v>0.41803159999349798</v>
      </c>
      <c r="AE49" s="13"/>
      <c r="AF49" s="13"/>
      <c r="AG49" s="13"/>
      <c r="AH49" s="155"/>
      <c r="AI49" s="13"/>
      <c r="AJ49" s="155"/>
      <c r="AK49" s="13"/>
    </row>
    <row r="50" spans="1:37" ht="15.75" customHeight="1">
      <c r="A50" s="206" t="s">
        <v>123</v>
      </c>
      <c r="B50" s="207"/>
      <c r="C50" s="189">
        <f t="shared" ref="C50:D59" si="10">K50</f>
        <v>868091</v>
      </c>
      <c r="D50" s="189">
        <f t="shared" si="10"/>
        <v>658981</v>
      </c>
      <c r="E50" s="187">
        <f t="shared" si="7"/>
        <v>0.75911511581159119</v>
      </c>
      <c r="F50" s="189">
        <f t="shared" ref="F50:F60" si="11">+G50-D50</f>
        <v>-7912.75</v>
      </c>
      <c r="G50" s="23">
        <f t="shared" ref="G50:G60" si="12">C50*0.75</f>
        <v>651068.25</v>
      </c>
      <c r="H50" s="25">
        <f t="shared" si="8"/>
        <v>209110</v>
      </c>
      <c r="I50" s="1">
        <v>0.75</v>
      </c>
      <c r="J50" s="135" t="s">
        <v>123</v>
      </c>
      <c r="K50" s="156">
        <v>868091</v>
      </c>
      <c r="L50" s="156">
        <v>658981</v>
      </c>
      <c r="M50" s="155">
        <f t="shared" si="9"/>
        <v>0.75911511581159119</v>
      </c>
      <c r="N50" s="156">
        <v>376370</v>
      </c>
      <c r="O50" s="156">
        <v>325848</v>
      </c>
      <c r="P50" s="155">
        <v>0.86576507160506944</v>
      </c>
      <c r="Q50" s="156"/>
      <c r="R50" s="156">
        <v>376370</v>
      </c>
      <c r="S50" s="156">
        <v>325973</v>
      </c>
      <c r="T50" s="155">
        <v>0.86609719159337883</v>
      </c>
      <c r="U50" s="156"/>
      <c r="V50" s="156">
        <v>411370</v>
      </c>
      <c r="W50" s="156">
        <v>383143.79</v>
      </c>
      <c r="X50" s="155">
        <v>0.9313848603447018</v>
      </c>
      <c r="Y50" s="156"/>
      <c r="Z50" s="156">
        <v>510370</v>
      </c>
      <c r="AA50" s="156">
        <v>460181.56999999995</v>
      </c>
      <c r="AB50" s="155">
        <v>0.90166265650410482</v>
      </c>
      <c r="AC50" s="156"/>
      <c r="AD50" s="155">
        <v>0.58496025467607382</v>
      </c>
      <c r="AE50" s="13"/>
      <c r="AF50" s="156"/>
      <c r="AG50" s="156"/>
      <c r="AH50" s="155"/>
      <c r="AI50" s="156"/>
      <c r="AJ50" s="155"/>
      <c r="AK50" s="13"/>
    </row>
    <row r="51" spans="1:37" ht="15.75" customHeight="1">
      <c r="A51" s="206" t="s">
        <v>31</v>
      </c>
      <c r="B51" s="207"/>
      <c r="C51" s="189">
        <f t="shared" si="10"/>
        <v>3847599</v>
      </c>
      <c r="D51" s="189">
        <f t="shared" si="10"/>
        <v>1844089</v>
      </c>
      <c r="E51" s="187">
        <f t="shared" si="7"/>
        <v>0.47928305418522044</v>
      </c>
      <c r="F51" s="189">
        <f t="shared" si="11"/>
        <v>1041610.25</v>
      </c>
      <c r="G51" s="23">
        <f t="shared" si="12"/>
        <v>2885699.25</v>
      </c>
      <c r="H51" s="25">
        <f t="shared" si="8"/>
        <v>2003510</v>
      </c>
      <c r="I51" s="1">
        <v>0.75</v>
      </c>
      <c r="J51" s="135" t="s">
        <v>31</v>
      </c>
      <c r="K51" s="156">
        <v>3847599</v>
      </c>
      <c r="L51" s="156">
        <v>1844089</v>
      </c>
      <c r="M51" s="155">
        <f t="shared" si="9"/>
        <v>0.47928305418522044</v>
      </c>
      <c r="N51" s="156">
        <v>3539581</v>
      </c>
      <c r="O51" s="156">
        <v>2010909</v>
      </c>
      <c r="P51" s="155">
        <v>0.56812063348740993</v>
      </c>
      <c r="Q51" s="156"/>
      <c r="R51" s="156">
        <v>2892101</v>
      </c>
      <c r="S51" s="156">
        <v>1951047</v>
      </c>
      <c r="T51" s="155">
        <v>0.67461233200361947</v>
      </c>
      <c r="U51" s="156"/>
      <c r="V51" s="156">
        <v>3263326</v>
      </c>
      <c r="W51" s="156">
        <v>2193821.02</v>
      </c>
      <c r="X51" s="155">
        <v>0.67226535749109961</v>
      </c>
      <c r="Y51" s="156"/>
      <c r="Z51" s="156">
        <v>3360551</v>
      </c>
      <c r="AA51" s="156">
        <v>2129539.5900000003</v>
      </c>
      <c r="AB51" s="155">
        <v>0.63368762741586138</v>
      </c>
      <c r="AC51" s="156"/>
      <c r="AD51" s="155">
        <v>0.46567662983352515</v>
      </c>
      <c r="AE51" s="13"/>
      <c r="AF51" s="156"/>
      <c r="AG51" s="156"/>
      <c r="AH51" s="155"/>
      <c r="AI51" s="156"/>
      <c r="AJ51" s="155"/>
      <c r="AK51" s="13"/>
    </row>
    <row r="52" spans="1:37" ht="15.75" customHeight="1">
      <c r="A52" s="206" t="s">
        <v>15</v>
      </c>
      <c r="B52" s="207"/>
      <c r="C52" s="189">
        <f t="shared" si="10"/>
        <v>10587235</v>
      </c>
      <c r="D52" s="189">
        <f t="shared" si="10"/>
        <v>7036547</v>
      </c>
      <c r="E52" s="187">
        <f t="shared" si="7"/>
        <v>0.66462556087590385</v>
      </c>
      <c r="F52" s="189">
        <f t="shared" si="11"/>
        <v>903879.25</v>
      </c>
      <c r="G52" s="23">
        <f t="shared" si="12"/>
        <v>7940426.25</v>
      </c>
      <c r="H52" s="25">
        <f t="shared" si="8"/>
        <v>3550688</v>
      </c>
      <c r="I52" s="1">
        <v>0.75</v>
      </c>
      <c r="J52" s="135" t="s">
        <v>15</v>
      </c>
      <c r="K52" s="156">
        <v>10587235</v>
      </c>
      <c r="L52" s="156">
        <v>7036547</v>
      </c>
      <c r="M52" s="155">
        <f t="shared" si="9"/>
        <v>0.66462556087590385</v>
      </c>
      <c r="N52" s="156">
        <v>10245180</v>
      </c>
      <c r="O52" s="156">
        <v>7358371</v>
      </c>
      <c r="P52" s="155">
        <v>0.7182275958060278</v>
      </c>
      <c r="Q52" s="156"/>
      <c r="R52" s="156">
        <v>10586321</v>
      </c>
      <c r="S52" s="156">
        <v>7523615</v>
      </c>
      <c r="T52" s="155">
        <v>0.71069212807735571</v>
      </c>
      <c r="U52" s="156"/>
      <c r="V52" s="156">
        <v>10604579</v>
      </c>
      <c r="W52" s="156">
        <v>7648186.1399999997</v>
      </c>
      <c r="X52" s="155">
        <v>0.7212154428761387</v>
      </c>
      <c r="Y52" s="156"/>
      <c r="Z52" s="156">
        <v>10906229</v>
      </c>
      <c r="AA52" s="156">
        <v>7281216.5200000005</v>
      </c>
      <c r="AB52" s="155">
        <v>0.66761999220812263</v>
      </c>
      <c r="AC52" s="156"/>
      <c r="AD52" s="155">
        <v>0.43884863041574423</v>
      </c>
      <c r="AE52" s="13"/>
      <c r="AF52" s="156"/>
      <c r="AG52" s="156"/>
      <c r="AH52" s="155"/>
      <c r="AI52" s="156"/>
      <c r="AJ52" s="155"/>
      <c r="AK52" s="13"/>
    </row>
    <row r="53" spans="1:37" ht="15.75" customHeight="1">
      <c r="A53" s="206" t="s">
        <v>14</v>
      </c>
      <c r="B53" s="207"/>
      <c r="C53" s="189">
        <f t="shared" si="10"/>
        <v>32667394</v>
      </c>
      <c r="D53" s="189">
        <f t="shared" si="10"/>
        <v>19665213</v>
      </c>
      <c r="E53" s="187">
        <f t="shared" si="7"/>
        <v>0.60198291299269235</v>
      </c>
      <c r="F53" s="189">
        <f t="shared" si="11"/>
        <v>4835332.5</v>
      </c>
      <c r="G53" s="23">
        <f t="shared" si="12"/>
        <v>24500545.5</v>
      </c>
      <c r="H53" s="25">
        <f t="shared" si="8"/>
        <v>13002181</v>
      </c>
      <c r="I53" s="1">
        <v>0.75</v>
      </c>
      <c r="J53" s="135" t="s">
        <v>151</v>
      </c>
      <c r="K53" s="156">
        <v>32667394</v>
      </c>
      <c r="L53" s="156">
        <v>19665213</v>
      </c>
      <c r="M53" s="155">
        <f t="shared" si="9"/>
        <v>0.60198291299269235</v>
      </c>
      <c r="N53" s="156">
        <v>31030208</v>
      </c>
      <c r="O53" s="156">
        <v>18458064</v>
      </c>
      <c r="P53" s="155">
        <v>0.59484177482793543</v>
      </c>
      <c r="Q53" s="156"/>
      <c r="R53" s="156">
        <v>36594199</v>
      </c>
      <c r="S53" s="156">
        <v>21877963</v>
      </c>
      <c r="T53" s="155">
        <v>0.59785331002872888</v>
      </c>
      <c r="U53" s="156"/>
      <c r="V53" s="156">
        <v>36033186</v>
      </c>
      <c r="W53" s="156">
        <v>19505690.91</v>
      </c>
      <c r="X53" s="155">
        <v>0.54132573539292361</v>
      </c>
      <c r="Y53" s="156"/>
      <c r="Z53" s="156">
        <v>34955768</v>
      </c>
      <c r="AA53" s="156">
        <v>18757224.559999999</v>
      </c>
      <c r="AB53" s="155">
        <v>0.5365988399968783</v>
      </c>
      <c r="AC53" s="156"/>
      <c r="AD53" s="155">
        <v>0.40729776227638004</v>
      </c>
      <c r="AE53" s="13"/>
      <c r="AF53" s="156"/>
      <c r="AG53" s="156"/>
      <c r="AH53" s="155"/>
      <c r="AI53" s="156"/>
      <c r="AJ53" s="155"/>
      <c r="AK53" s="13"/>
    </row>
    <row r="54" spans="1:37" ht="15.75" customHeight="1">
      <c r="A54" s="206" t="s">
        <v>124</v>
      </c>
      <c r="B54" s="207"/>
      <c r="C54" s="189">
        <f t="shared" si="10"/>
        <v>11767178</v>
      </c>
      <c r="D54" s="189">
        <f t="shared" si="10"/>
        <v>9129673</v>
      </c>
      <c r="E54" s="187">
        <f t="shared" si="7"/>
        <v>0.77585917371182789</v>
      </c>
      <c r="F54" s="189">
        <f t="shared" si="11"/>
        <v>-304289.5</v>
      </c>
      <c r="G54" s="23">
        <f t="shared" si="12"/>
        <v>8825383.5</v>
      </c>
      <c r="H54" s="25">
        <f t="shared" si="8"/>
        <v>2637505</v>
      </c>
      <c r="I54" s="1">
        <v>0.75</v>
      </c>
      <c r="J54" s="135" t="s">
        <v>124</v>
      </c>
      <c r="K54" s="156">
        <v>11767178</v>
      </c>
      <c r="L54" s="156">
        <v>9129673</v>
      </c>
      <c r="M54" s="155">
        <f t="shared" si="9"/>
        <v>0.77585917371182789</v>
      </c>
      <c r="N54" s="156">
        <v>11756112</v>
      </c>
      <c r="O54" s="156">
        <v>8343384</v>
      </c>
      <c r="P54" s="155">
        <v>0.70970606608715536</v>
      </c>
      <c r="Q54" s="156"/>
      <c r="R54" s="156">
        <v>12350821</v>
      </c>
      <c r="S54" s="156">
        <v>8726451</v>
      </c>
      <c r="T54" s="155">
        <v>0.70654825294609969</v>
      </c>
      <c r="U54" s="156"/>
      <c r="V54" s="156">
        <v>11603014</v>
      </c>
      <c r="W54" s="156">
        <v>7927464.3200000003</v>
      </c>
      <c r="X54" s="155">
        <v>0.68322457595931541</v>
      </c>
      <c r="Y54" s="156"/>
      <c r="Z54" s="156">
        <v>11138553</v>
      </c>
      <c r="AA54" s="156">
        <v>8118866.5700000003</v>
      </c>
      <c r="AB54" s="155">
        <v>0.72889778142636663</v>
      </c>
      <c r="AC54" s="156"/>
      <c r="AD54" s="155">
        <v>0.4768090079891994</v>
      </c>
      <c r="AE54" s="13"/>
      <c r="AF54" s="156"/>
      <c r="AG54" s="156"/>
      <c r="AH54" s="155"/>
      <c r="AI54" s="156"/>
      <c r="AJ54" s="155"/>
      <c r="AK54" s="13"/>
    </row>
    <row r="55" spans="1:37" ht="15.75" customHeight="1">
      <c r="A55" s="206" t="s">
        <v>32</v>
      </c>
      <c r="B55" s="207"/>
      <c r="C55" s="189">
        <f t="shared" si="10"/>
        <v>15377499</v>
      </c>
      <c r="D55" s="189">
        <f t="shared" si="10"/>
        <v>10335119</v>
      </c>
      <c r="E55" s="187">
        <f t="shared" si="7"/>
        <v>0.67209362198625411</v>
      </c>
      <c r="F55" s="189">
        <f t="shared" si="11"/>
        <v>1198005.25</v>
      </c>
      <c r="G55" s="23">
        <f t="shared" si="12"/>
        <v>11533124.25</v>
      </c>
      <c r="H55" s="25">
        <f t="shared" si="8"/>
        <v>5042380</v>
      </c>
      <c r="I55" s="1">
        <v>0.75</v>
      </c>
      <c r="J55" s="135" t="s">
        <v>32</v>
      </c>
      <c r="K55" s="156">
        <v>15377499</v>
      </c>
      <c r="L55" s="156">
        <v>10335119</v>
      </c>
      <c r="M55" s="155">
        <f t="shared" si="9"/>
        <v>0.67209362198625411</v>
      </c>
      <c r="N55" s="156">
        <v>14379926</v>
      </c>
      <c r="O55" s="156">
        <v>10318658</v>
      </c>
      <c r="P55" s="155">
        <v>0.71757379001811272</v>
      </c>
      <c r="Q55" s="156"/>
      <c r="R55" s="156">
        <v>14589387</v>
      </c>
      <c r="S55" s="156">
        <v>10482485</v>
      </c>
      <c r="T55" s="155">
        <v>0.71850071562293882</v>
      </c>
      <c r="U55" s="156"/>
      <c r="V55" s="156">
        <v>14742575</v>
      </c>
      <c r="W55" s="156">
        <v>10275613.33</v>
      </c>
      <c r="X55" s="155">
        <v>0.69700261521477758</v>
      </c>
      <c r="Y55" s="156"/>
      <c r="Z55" s="156">
        <v>14546174</v>
      </c>
      <c r="AA55" s="156">
        <v>9790971.8100000005</v>
      </c>
      <c r="AB55" s="155">
        <v>0.67309601892566395</v>
      </c>
      <c r="AC55" s="156"/>
      <c r="AD55" s="155">
        <v>0.48484329927825059</v>
      </c>
      <c r="AE55" s="13"/>
      <c r="AF55" s="156"/>
      <c r="AG55" s="156"/>
      <c r="AH55" s="155"/>
      <c r="AI55" s="156"/>
      <c r="AJ55" s="155"/>
      <c r="AK55" s="13"/>
    </row>
    <row r="56" spans="1:37" ht="15.75" customHeight="1">
      <c r="A56" s="206" t="s">
        <v>33</v>
      </c>
      <c r="B56" s="207"/>
      <c r="C56" s="189">
        <f t="shared" si="10"/>
        <v>10551894</v>
      </c>
      <c r="D56" s="189">
        <f t="shared" si="10"/>
        <v>7130520</v>
      </c>
      <c r="E56" s="187">
        <f t="shared" si="7"/>
        <v>0.67575735692568561</v>
      </c>
      <c r="F56" s="189">
        <f t="shared" si="11"/>
        <v>783400.5</v>
      </c>
      <c r="G56" s="23">
        <f t="shared" si="12"/>
        <v>7913920.5</v>
      </c>
      <c r="H56" s="25">
        <f t="shared" si="8"/>
        <v>3421374</v>
      </c>
      <c r="I56" s="1">
        <v>0.75</v>
      </c>
      <c r="J56" s="135" t="s">
        <v>33</v>
      </c>
      <c r="K56" s="156">
        <v>10551894</v>
      </c>
      <c r="L56" s="156">
        <v>7130520</v>
      </c>
      <c r="M56" s="155">
        <f t="shared" si="9"/>
        <v>0.67575735692568561</v>
      </c>
      <c r="N56" s="156">
        <v>10468040</v>
      </c>
      <c r="O56" s="156">
        <v>7386200</v>
      </c>
      <c r="P56" s="155">
        <v>0.7055953167928285</v>
      </c>
      <c r="Q56" s="156"/>
      <c r="R56" s="156">
        <v>10895570</v>
      </c>
      <c r="S56" s="156">
        <v>7778427</v>
      </c>
      <c r="T56" s="155">
        <v>0.71390730361054999</v>
      </c>
      <c r="U56" s="156"/>
      <c r="V56" s="156">
        <v>10775827</v>
      </c>
      <c r="W56" s="156">
        <v>7817873.0199999996</v>
      </c>
      <c r="X56" s="155">
        <v>0.72550097732638053</v>
      </c>
      <c r="Y56" s="156"/>
      <c r="Z56" s="156">
        <v>10460745</v>
      </c>
      <c r="AA56" s="156">
        <v>7216833.1699999999</v>
      </c>
      <c r="AB56" s="155">
        <v>0.68989667275131938</v>
      </c>
      <c r="AC56" s="156"/>
      <c r="AD56" s="155">
        <v>0.4865312874805966</v>
      </c>
      <c r="AE56" s="13"/>
      <c r="AF56" s="156"/>
      <c r="AG56" s="156"/>
      <c r="AH56" s="155"/>
      <c r="AI56" s="156"/>
      <c r="AJ56" s="155"/>
      <c r="AK56" s="13"/>
    </row>
    <row r="57" spans="1:37" ht="15.75" customHeight="1">
      <c r="A57" s="206" t="s">
        <v>34</v>
      </c>
      <c r="B57" s="207"/>
      <c r="C57" s="189">
        <f t="shared" si="10"/>
        <v>10649104</v>
      </c>
      <c r="D57" s="189">
        <f t="shared" si="10"/>
        <v>7157257</v>
      </c>
      <c r="E57" s="187">
        <f t="shared" si="7"/>
        <v>0.67209945550348649</v>
      </c>
      <c r="F57" s="189">
        <f t="shared" si="11"/>
        <v>829571</v>
      </c>
      <c r="G57" s="23">
        <f t="shared" si="12"/>
        <v>7986828</v>
      </c>
      <c r="H57" s="25">
        <f t="shared" si="8"/>
        <v>3491847</v>
      </c>
      <c r="I57" s="1">
        <v>0.75</v>
      </c>
      <c r="J57" s="135" t="s">
        <v>34</v>
      </c>
      <c r="K57" s="156">
        <v>10649104</v>
      </c>
      <c r="L57" s="156">
        <v>7157257</v>
      </c>
      <c r="M57" s="155">
        <f t="shared" si="9"/>
        <v>0.67209945550348649</v>
      </c>
      <c r="N57" s="156">
        <v>10353415</v>
      </c>
      <c r="O57" s="156">
        <v>7505150</v>
      </c>
      <c r="P57" s="155">
        <v>0.72489608501156377</v>
      </c>
      <c r="Q57" s="156"/>
      <c r="R57" s="156">
        <v>10218116</v>
      </c>
      <c r="S57" s="156">
        <v>7000135</v>
      </c>
      <c r="T57" s="155">
        <v>0.68507100526163534</v>
      </c>
      <c r="U57" s="156"/>
      <c r="V57" s="156">
        <v>10781064</v>
      </c>
      <c r="W57" s="156">
        <v>6861788.5899999999</v>
      </c>
      <c r="X57" s="155">
        <v>0.63646673371014217</v>
      </c>
      <c r="Y57" s="156"/>
      <c r="Z57" s="156">
        <v>10829424</v>
      </c>
      <c r="AA57" s="156">
        <v>6973239.3600000003</v>
      </c>
      <c r="AB57" s="155">
        <v>0.64391599774835673</v>
      </c>
      <c r="AC57" s="156"/>
      <c r="AD57" s="155">
        <v>0.42159531309477055</v>
      </c>
      <c r="AE57" s="13"/>
      <c r="AF57" s="156"/>
      <c r="AG57" s="156"/>
      <c r="AH57" s="155"/>
      <c r="AI57" s="156"/>
      <c r="AJ57" s="155"/>
      <c r="AK57" s="13"/>
    </row>
    <row r="58" spans="1:37" ht="15.75" customHeight="1">
      <c r="A58" s="206" t="s">
        <v>35</v>
      </c>
      <c r="B58" s="207"/>
      <c r="C58" s="189">
        <f t="shared" si="10"/>
        <v>55086649</v>
      </c>
      <c r="D58" s="189">
        <f t="shared" si="10"/>
        <v>37789337</v>
      </c>
      <c r="E58" s="187">
        <f t="shared" si="7"/>
        <v>0.68599810818044138</v>
      </c>
      <c r="F58" s="189">
        <f t="shared" si="11"/>
        <v>3525649.75</v>
      </c>
      <c r="G58" s="23">
        <f t="shared" si="12"/>
        <v>41314986.75</v>
      </c>
      <c r="H58" s="25">
        <f>C58-D58</f>
        <v>17297312</v>
      </c>
      <c r="I58" s="1">
        <v>0.75</v>
      </c>
      <c r="J58" s="135" t="s">
        <v>35</v>
      </c>
      <c r="K58" s="156">
        <v>55086649</v>
      </c>
      <c r="L58" s="156">
        <v>37789337</v>
      </c>
      <c r="M58" s="155">
        <f t="shared" si="9"/>
        <v>0.68599810818044138</v>
      </c>
      <c r="N58" s="156">
        <v>45271679</v>
      </c>
      <c r="O58" s="156">
        <v>33018251</v>
      </c>
      <c r="P58" s="155">
        <v>0.72933568467827314</v>
      </c>
      <c r="Q58" s="156"/>
      <c r="R58" s="156">
        <v>45505343</v>
      </c>
      <c r="S58" s="156">
        <v>33556214</v>
      </c>
      <c r="T58" s="155">
        <v>0.73741261548121939</v>
      </c>
      <c r="U58" s="156"/>
      <c r="V58" s="156">
        <v>45971504</v>
      </c>
      <c r="W58" s="156">
        <v>33909150.039999999</v>
      </c>
      <c r="X58" s="155">
        <v>0.7376123704806351</v>
      </c>
      <c r="Y58" s="156"/>
      <c r="Z58" s="156">
        <v>44763416</v>
      </c>
      <c r="AA58" s="156">
        <v>32122715.57</v>
      </c>
      <c r="AB58" s="155">
        <v>0.71761090730877197</v>
      </c>
      <c r="AC58" s="156"/>
      <c r="AD58" s="155">
        <v>0.51583437624027817</v>
      </c>
      <c r="AE58" s="13"/>
      <c r="AF58" s="156"/>
      <c r="AG58" s="156"/>
      <c r="AH58" s="155"/>
      <c r="AI58" s="156"/>
      <c r="AJ58" s="155"/>
      <c r="AK58" s="13"/>
    </row>
    <row r="59" spans="1:37" ht="15.75" customHeight="1" thickBot="1">
      <c r="A59" s="206" t="s">
        <v>238</v>
      </c>
      <c r="B59" s="207"/>
      <c r="C59" s="189">
        <f t="shared" si="10"/>
        <v>330000</v>
      </c>
      <c r="D59" s="189">
        <f t="shared" si="10"/>
        <v>1443069</v>
      </c>
      <c r="E59" s="187">
        <f t="shared" si="7"/>
        <v>4.3729363636363638</v>
      </c>
      <c r="F59" s="189">
        <f t="shared" si="11"/>
        <v>-1195569</v>
      </c>
      <c r="G59" s="23">
        <f t="shared" si="12"/>
        <v>247500</v>
      </c>
      <c r="H59" s="25">
        <v>0</v>
      </c>
      <c r="I59" s="1">
        <v>0.75</v>
      </c>
      <c r="J59" s="135" t="s">
        <v>36</v>
      </c>
      <c r="K59" s="158">
        <v>330000</v>
      </c>
      <c r="L59" s="158">
        <v>1443069</v>
      </c>
      <c r="M59" s="152">
        <f t="shared" si="9"/>
        <v>4.3729363636363638</v>
      </c>
      <c r="N59" s="158">
        <v>9085000</v>
      </c>
      <c r="O59" s="158">
        <v>9085000</v>
      </c>
      <c r="P59" s="152">
        <v>1</v>
      </c>
      <c r="Q59" s="158"/>
      <c r="R59" s="158">
        <v>9355000</v>
      </c>
      <c r="S59" s="158">
        <v>9430590</v>
      </c>
      <c r="T59" s="152">
        <v>1.0080801710315339</v>
      </c>
      <c r="U59" s="158"/>
      <c r="V59" s="158">
        <v>8370000</v>
      </c>
      <c r="W59" s="158">
        <v>8420000</v>
      </c>
      <c r="X59" s="152">
        <v>1.005973715651135</v>
      </c>
      <c r="Y59" s="158"/>
      <c r="Z59" s="158">
        <v>8707782</v>
      </c>
      <c r="AA59" s="158">
        <v>8762345</v>
      </c>
      <c r="AB59" s="152">
        <v>1.0062660043625347</v>
      </c>
      <c r="AC59" s="158"/>
      <c r="AD59" s="152">
        <v>0.64379651851694508</v>
      </c>
      <c r="AE59" s="159"/>
      <c r="AF59" s="158"/>
      <c r="AG59" s="158"/>
      <c r="AH59" s="152"/>
      <c r="AI59" s="158"/>
      <c r="AJ59" s="152"/>
      <c r="AK59" s="159"/>
    </row>
    <row r="60" spans="1:37" ht="15.75" customHeight="1" thickBot="1">
      <c r="A60" s="210" t="s">
        <v>28</v>
      </c>
      <c r="B60" s="211"/>
      <c r="C60" s="186">
        <f>SUM(C49:C59)</f>
        <v>151995430</v>
      </c>
      <c r="D60" s="186">
        <f>SUM(D49:D59)</f>
        <v>102362167</v>
      </c>
      <c r="E60" s="187">
        <f t="shared" si="7"/>
        <v>0.67345555718352845</v>
      </c>
      <c r="F60" s="188">
        <f t="shared" si="11"/>
        <v>11634405.5</v>
      </c>
      <c r="G60" s="23">
        <f t="shared" si="12"/>
        <v>113996572.5</v>
      </c>
      <c r="J60" s="107"/>
      <c r="K60" s="157">
        <f>SUM(K49:K59)</f>
        <v>151995430</v>
      </c>
      <c r="L60" s="157">
        <f>SUM(L49:L59)</f>
        <v>102362167</v>
      </c>
      <c r="M60" s="153">
        <f t="shared" si="9"/>
        <v>0.67345555718352845</v>
      </c>
      <c r="N60" s="157">
        <v>146765759</v>
      </c>
      <c r="O60" s="157">
        <f>SUM(O49:O59)</f>
        <v>103991995</v>
      </c>
      <c r="P60" s="153">
        <v>0.70855760709144699</v>
      </c>
      <c r="Q60" s="157"/>
      <c r="R60" s="157">
        <v>153678623</v>
      </c>
      <c r="S60" s="157">
        <f>SUM(S49:S59)</f>
        <v>108866224</v>
      </c>
      <c r="T60" s="153">
        <v>0.70840187057115944</v>
      </c>
      <c r="U60" s="157"/>
      <c r="V60" s="157">
        <v>152858941</v>
      </c>
      <c r="W60" s="157">
        <f>SUM(W49:W59)</f>
        <v>105143099.74000001</v>
      </c>
      <c r="X60" s="153">
        <v>0.68784396288601801</v>
      </c>
      <c r="Y60" s="157"/>
      <c r="Z60" s="157">
        <v>150486607</v>
      </c>
      <c r="AA60" s="157">
        <f>SUM(AA49:AA59)</f>
        <v>101801602.80000001</v>
      </c>
      <c r="AB60" s="153">
        <v>0.67648281019453116</v>
      </c>
      <c r="AC60" s="157"/>
      <c r="AD60" s="153">
        <v>0.48304826681450236</v>
      </c>
      <c r="AE60" s="157"/>
      <c r="AF60" s="157"/>
      <c r="AG60" s="157"/>
      <c r="AH60" s="153"/>
      <c r="AI60" s="157"/>
      <c r="AJ60" s="153"/>
      <c r="AK60" s="157"/>
    </row>
    <row r="61" spans="1:37" ht="15.75" customHeight="1" thickTop="1">
      <c r="A61" s="192"/>
      <c r="B61" s="192"/>
      <c r="C61" s="193"/>
      <c r="D61" s="193"/>
      <c r="E61" s="194"/>
      <c r="F61" s="195"/>
      <c r="G61" s="14"/>
      <c r="J61" s="107"/>
      <c r="K61" s="107"/>
      <c r="L61" s="107"/>
      <c r="M61" s="107"/>
      <c r="N61" s="24"/>
      <c r="O61" s="24"/>
      <c r="P61" s="170"/>
      <c r="Q61" s="24"/>
      <c r="R61" s="24"/>
      <c r="S61" s="24"/>
      <c r="T61" s="170"/>
      <c r="U61" s="24"/>
      <c r="V61" s="24"/>
      <c r="W61" s="24"/>
      <c r="X61" s="170"/>
      <c r="Y61" s="24"/>
      <c r="Z61" s="170"/>
      <c r="AA61" s="24"/>
      <c r="AB61" s="24"/>
      <c r="AC61" s="24"/>
      <c r="AD61" s="170"/>
      <c r="AE61" s="24"/>
      <c r="AF61" s="170"/>
      <c r="AG61" s="24"/>
    </row>
    <row r="62" spans="1:37" ht="15.75" customHeight="1">
      <c r="A62" s="192"/>
      <c r="B62" s="192"/>
      <c r="C62" s="193"/>
      <c r="D62" s="193"/>
      <c r="E62" s="194"/>
      <c r="F62" s="195"/>
      <c r="G62" s="14"/>
      <c r="J62" s="107"/>
      <c r="K62" s="107"/>
      <c r="L62" s="107"/>
      <c r="M62" s="107"/>
      <c r="N62" s="24"/>
      <c r="O62" s="24"/>
      <c r="P62" s="170"/>
      <c r="Q62" s="24"/>
      <c r="R62" s="24"/>
      <c r="S62" s="24"/>
      <c r="T62" s="170"/>
      <c r="U62" s="24"/>
      <c r="V62" s="24"/>
      <c r="W62" s="24"/>
      <c r="X62" s="170"/>
      <c r="Y62" s="24"/>
      <c r="Z62" s="170"/>
      <c r="AA62" s="24"/>
      <c r="AB62" s="24"/>
      <c r="AC62" s="24"/>
      <c r="AD62" s="170"/>
      <c r="AE62" s="24"/>
      <c r="AF62" s="170"/>
      <c r="AG62" s="24"/>
    </row>
    <row r="63" spans="1:37" ht="15.75">
      <c r="A63" s="183"/>
      <c r="B63" s="183"/>
      <c r="C63" s="183"/>
      <c r="D63" s="183"/>
      <c r="E63" s="183"/>
      <c r="F63" s="183"/>
    </row>
    <row r="64" spans="1:37" ht="15.75">
      <c r="A64" s="183"/>
      <c r="B64" s="183"/>
      <c r="C64" s="183"/>
      <c r="D64" s="183"/>
      <c r="E64" s="183"/>
      <c r="F64" s="183"/>
    </row>
    <row r="65" spans="1:6" ht="15.75">
      <c r="A65" s="183"/>
      <c r="B65" s="183"/>
      <c r="C65" s="183"/>
      <c r="D65" s="183"/>
      <c r="E65" s="183"/>
      <c r="F65" s="183"/>
    </row>
    <row r="66" spans="1:6" ht="15.75">
      <c r="A66" s="183"/>
      <c r="B66" s="183"/>
      <c r="C66" s="183"/>
      <c r="D66" s="183"/>
      <c r="E66" s="183"/>
      <c r="F66" s="183"/>
    </row>
    <row r="67" spans="1:6" ht="15.75">
      <c r="A67" s="183"/>
      <c r="B67" s="183"/>
      <c r="C67" s="183"/>
      <c r="D67" s="183"/>
      <c r="E67" s="183"/>
      <c r="F67" s="183"/>
    </row>
    <row r="68" spans="1:6" ht="15.75">
      <c r="A68" s="183"/>
      <c r="B68" s="183"/>
      <c r="C68" s="183"/>
      <c r="D68" s="183"/>
      <c r="E68" s="183"/>
      <c r="F68" s="183"/>
    </row>
    <row r="69" spans="1:6" ht="15.75">
      <c r="A69" s="183"/>
      <c r="B69" s="183"/>
      <c r="C69" s="183"/>
      <c r="D69" s="183"/>
      <c r="E69" s="183"/>
      <c r="F69" s="183"/>
    </row>
    <row r="70" spans="1:6" ht="15.75">
      <c r="A70" s="183"/>
      <c r="B70" s="183"/>
      <c r="C70" s="183"/>
      <c r="D70" s="183"/>
      <c r="E70" s="183"/>
      <c r="F70" s="183"/>
    </row>
    <row r="71" spans="1:6" ht="15.75">
      <c r="A71" s="183"/>
      <c r="B71" s="183"/>
      <c r="C71" s="183"/>
      <c r="D71" s="183"/>
      <c r="E71" s="183"/>
      <c r="F71" s="183"/>
    </row>
    <row r="72" spans="1:6" ht="15.75">
      <c r="A72" s="183"/>
      <c r="B72" s="183"/>
      <c r="C72" s="183"/>
      <c r="D72" s="183"/>
      <c r="E72" s="183"/>
      <c r="F72" s="183"/>
    </row>
    <row r="73" spans="1:6" ht="15.75">
      <c r="A73" s="183"/>
      <c r="B73" s="183"/>
      <c r="C73" s="183"/>
      <c r="D73" s="183"/>
      <c r="E73" s="183"/>
      <c r="F73" s="183"/>
    </row>
    <row r="74" spans="1:6" ht="15.75">
      <c r="A74" s="183"/>
      <c r="B74" s="183"/>
      <c r="C74" s="183"/>
      <c r="D74" s="183"/>
      <c r="E74" s="183"/>
      <c r="F74" s="183"/>
    </row>
    <row r="75" spans="1:6" ht="15.75">
      <c r="A75" s="183"/>
      <c r="B75" s="183"/>
      <c r="C75" s="183"/>
      <c r="D75" s="183"/>
      <c r="E75" s="183"/>
      <c r="F75" s="183"/>
    </row>
    <row r="76" spans="1:6" ht="15.75">
      <c r="A76" s="183"/>
      <c r="B76" s="183"/>
      <c r="C76" s="183"/>
      <c r="D76" s="183"/>
      <c r="E76" s="183"/>
      <c r="F76" s="183"/>
    </row>
    <row r="77" spans="1:6" ht="15.75">
      <c r="A77" s="183"/>
      <c r="B77" s="183"/>
      <c r="C77" s="183"/>
      <c r="D77" s="183"/>
      <c r="E77" s="183"/>
      <c r="F77" s="183"/>
    </row>
    <row r="78" spans="1:6" ht="15.75">
      <c r="A78" s="183"/>
      <c r="B78" s="183"/>
      <c r="C78" s="183"/>
      <c r="D78" s="183"/>
      <c r="E78" s="183"/>
      <c r="F78" s="183"/>
    </row>
    <row r="79" spans="1:6" ht="15.75">
      <c r="A79" s="183"/>
      <c r="B79" s="183"/>
      <c r="C79" s="183"/>
      <c r="D79" s="183"/>
      <c r="E79" s="183"/>
      <c r="F79" s="183"/>
    </row>
    <row r="80" spans="1:6" ht="15.75">
      <c r="A80" s="183"/>
      <c r="B80" s="183"/>
      <c r="C80" s="183"/>
      <c r="D80" s="183"/>
      <c r="E80" s="183"/>
      <c r="F80" s="183"/>
    </row>
    <row r="81" spans="1:6" ht="15.75">
      <c r="A81" s="183"/>
      <c r="B81" s="183"/>
      <c r="C81" s="183"/>
      <c r="D81" s="183"/>
      <c r="E81" s="183"/>
      <c r="F81" s="183"/>
    </row>
    <row r="82" spans="1:6" ht="15.75">
      <c r="A82" s="183"/>
      <c r="B82" s="183"/>
      <c r="C82" s="183"/>
      <c r="D82" s="183"/>
      <c r="E82" s="183"/>
      <c r="F82" s="183"/>
    </row>
    <row r="83" spans="1:6" ht="15.75">
      <c r="A83" s="183"/>
      <c r="B83" s="183"/>
      <c r="C83" s="183"/>
      <c r="D83" s="183"/>
      <c r="E83" s="183"/>
      <c r="F83" s="183"/>
    </row>
    <row r="84" spans="1:6" ht="15.75">
      <c r="A84" s="183"/>
      <c r="B84" s="183"/>
      <c r="C84" s="183"/>
      <c r="D84" s="183"/>
      <c r="E84" s="183"/>
      <c r="F84" s="183"/>
    </row>
    <row r="85" spans="1:6" ht="15.75">
      <c r="A85" s="183"/>
      <c r="B85" s="183"/>
      <c r="C85" s="183"/>
      <c r="D85" s="183"/>
      <c r="E85" s="183"/>
      <c r="F85" s="183"/>
    </row>
    <row r="86" spans="1:6" ht="15.75">
      <c r="A86" s="183"/>
      <c r="B86" s="183"/>
      <c r="C86" s="183"/>
      <c r="D86" s="183"/>
      <c r="E86" s="183"/>
      <c r="F86" s="183"/>
    </row>
    <row r="87" spans="1:6" ht="15.75">
      <c r="A87" s="183"/>
      <c r="B87" s="183"/>
      <c r="C87" s="183"/>
      <c r="D87" s="183"/>
      <c r="E87" s="183"/>
      <c r="F87" s="183"/>
    </row>
    <row r="88" spans="1:6" ht="15.75">
      <c r="A88" s="183"/>
      <c r="B88" s="183"/>
      <c r="C88" s="183"/>
      <c r="D88" s="183"/>
      <c r="E88" s="183"/>
      <c r="F88" s="183"/>
    </row>
    <row r="89" spans="1:6" ht="15.75">
      <c r="A89" s="183"/>
      <c r="B89" s="183"/>
      <c r="C89" s="183"/>
      <c r="D89" s="183"/>
      <c r="E89" s="183"/>
      <c r="F89" s="183"/>
    </row>
    <row r="90" spans="1:6" ht="15.75">
      <c r="A90" s="183"/>
      <c r="B90" s="183"/>
      <c r="C90" s="183"/>
      <c r="D90" s="183"/>
      <c r="E90" s="183"/>
      <c r="F90" s="183"/>
    </row>
    <row r="91" spans="1:6" ht="15.75">
      <c r="A91" s="183"/>
      <c r="B91" s="183"/>
      <c r="C91" s="183"/>
      <c r="D91" s="183"/>
      <c r="E91" s="183"/>
      <c r="F91" s="183"/>
    </row>
    <row r="92" spans="1:6" ht="15.75">
      <c r="A92" s="183"/>
      <c r="B92" s="183"/>
      <c r="C92" s="183"/>
      <c r="D92" s="183"/>
      <c r="E92" s="183"/>
      <c r="F92" s="183"/>
    </row>
    <row r="93" spans="1:6" ht="15.75">
      <c r="A93" s="183"/>
      <c r="B93" s="183"/>
      <c r="C93" s="183"/>
      <c r="D93" s="183"/>
      <c r="E93" s="183"/>
      <c r="F93" s="183"/>
    </row>
    <row r="94" spans="1:6" ht="15.75">
      <c r="A94" s="183"/>
      <c r="B94" s="183"/>
      <c r="C94" s="183"/>
      <c r="D94" s="183"/>
      <c r="E94" s="183"/>
      <c r="F94" s="183"/>
    </row>
    <row r="95" spans="1:6" ht="15.75">
      <c r="A95" s="183"/>
      <c r="B95" s="183"/>
      <c r="C95" s="183"/>
      <c r="D95" s="183"/>
      <c r="E95" s="183"/>
      <c r="F95" s="183"/>
    </row>
    <row r="96" spans="1:6" ht="15.75">
      <c r="A96" s="183"/>
      <c r="B96" s="183"/>
      <c r="C96" s="183"/>
      <c r="D96" s="183"/>
      <c r="E96" s="183"/>
      <c r="F96" s="183"/>
    </row>
    <row r="97" spans="1:6" ht="15.75">
      <c r="A97" s="183"/>
      <c r="B97" s="183"/>
      <c r="C97" s="183"/>
      <c r="D97" s="183"/>
      <c r="E97" s="183"/>
      <c r="F97" s="183"/>
    </row>
    <row r="98" spans="1:6" ht="15.75">
      <c r="A98" s="183"/>
      <c r="B98" s="183"/>
      <c r="C98" s="183"/>
      <c r="D98" s="183"/>
      <c r="E98" s="183"/>
      <c r="F98" s="183"/>
    </row>
    <row r="99" spans="1:6" ht="15.75">
      <c r="A99" s="183"/>
      <c r="B99" s="183"/>
      <c r="C99" s="183"/>
      <c r="D99" s="183"/>
      <c r="E99" s="183"/>
      <c r="F99" s="183"/>
    </row>
    <row r="100" spans="1:6" ht="15.75">
      <c r="A100" s="183"/>
      <c r="B100" s="183"/>
      <c r="C100" s="183"/>
      <c r="D100" s="183"/>
      <c r="E100" s="183"/>
      <c r="F100" s="183"/>
    </row>
    <row r="101" spans="1:6" ht="15.75">
      <c r="A101" s="183"/>
      <c r="B101" s="183"/>
      <c r="C101" s="183"/>
      <c r="D101" s="183"/>
      <c r="E101" s="183"/>
      <c r="F101" s="183"/>
    </row>
    <row r="102" spans="1:6" ht="15.75">
      <c r="A102" s="183"/>
      <c r="B102" s="183"/>
      <c r="C102" s="183"/>
      <c r="D102" s="183"/>
      <c r="E102" s="183"/>
      <c r="F102" s="183"/>
    </row>
    <row r="103" spans="1:6" ht="15.75">
      <c r="A103" s="183"/>
      <c r="B103" s="183"/>
      <c r="C103" s="183"/>
      <c r="D103" s="183"/>
      <c r="E103" s="183"/>
      <c r="F103" s="183"/>
    </row>
    <row r="104" spans="1:6" ht="15.75">
      <c r="A104" s="183"/>
      <c r="B104" s="183"/>
      <c r="C104" s="183"/>
      <c r="D104" s="183"/>
      <c r="E104" s="183"/>
      <c r="F104" s="183"/>
    </row>
    <row r="105" spans="1:6" ht="15.75">
      <c r="A105" s="183"/>
      <c r="B105" s="183"/>
      <c r="C105" s="183"/>
      <c r="D105" s="183"/>
      <c r="E105" s="183"/>
      <c r="F105" s="183"/>
    </row>
    <row r="106" spans="1:6" ht="15.75">
      <c r="A106" s="183"/>
      <c r="B106" s="183"/>
      <c r="C106" s="183"/>
      <c r="D106" s="183"/>
      <c r="E106" s="183"/>
      <c r="F106" s="183"/>
    </row>
    <row r="107" spans="1:6" ht="15.75">
      <c r="A107" s="183"/>
      <c r="B107" s="183"/>
      <c r="C107" s="183"/>
      <c r="D107" s="183"/>
      <c r="E107" s="183"/>
      <c r="F107" s="183"/>
    </row>
    <row r="108" spans="1:6" ht="15.75">
      <c r="A108" s="183"/>
      <c r="B108" s="183"/>
      <c r="C108" s="183"/>
      <c r="D108" s="183"/>
      <c r="E108" s="183"/>
      <c r="F108" s="183"/>
    </row>
    <row r="109" spans="1:6" ht="15.75">
      <c r="A109" s="183"/>
      <c r="B109" s="183"/>
      <c r="C109" s="183"/>
      <c r="D109" s="183"/>
      <c r="E109" s="183"/>
      <c r="F109" s="183"/>
    </row>
    <row r="110" spans="1:6" ht="15.75">
      <c r="A110" s="183"/>
      <c r="B110" s="183"/>
      <c r="C110" s="183"/>
      <c r="D110" s="183"/>
      <c r="E110" s="183"/>
      <c r="F110" s="183"/>
    </row>
    <row r="111" spans="1:6" ht="15.75">
      <c r="A111" s="183"/>
      <c r="B111" s="183"/>
      <c r="C111" s="183"/>
      <c r="D111" s="183"/>
      <c r="E111" s="183"/>
      <c r="F111" s="183"/>
    </row>
    <row r="112" spans="1:6" ht="15.75">
      <c r="A112" s="183"/>
      <c r="B112" s="183"/>
      <c r="C112" s="183"/>
      <c r="D112" s="183"/>
      <c r="E112" s="183"/>
      <c r="F112" s="183"/>
    </row>
    <row r="113" spans="1:6" ht="15.75">
      <c r="A113" s="183"/>
      <c r="B113" s="183"/>
      <c r="C113" s="183"/>
      <c r="D113" s="183"/>
      <c r="E113" s="183"/>
      <c r="F113" s="183"/>
    </row>
    <row r="114" spans="1:6" ht="15.75">
      <c r="A114" s="183"/>
      <c r="B114" s="183"/>
      <c r="C114" s="183"/>
      <c r="D114" s="183"/>
      <c r="E114" s="183"/>
      <c r="F114" s="183"/>
    </row>
    <row r="115" spans="1:6" ht="15.75">
      <c r="A115" s="183"/>
      <c r="B115" s="183"/>
      <c r="C115" s="183"/>
      <c r="D115" s="183"/>
      <c r="E115" s="183"/>
      <c r="F115" s="183"/>
    </row>
    <row r="116" spans="1:6" ht="15.75">
      <c r="A116" s="183"/>
      <c r="B116" s="183"/>
      <c r="C116" s="183"/>
      <c r="D116" s="183"/>
      <c r="E116" s="183"/>
      <c r="F116" s="183"/>
    </row>
    <row r="117" spans="1:6" ht="15.75">
      <c r="A117" s="183"/>
      <c r="B117" s="183"/>
      <c r="C117" s="183"/>
      <c r="D117" s="183"/>
      <c r="E117" s="183"/>
      <c r="F117" s="183"/>
    </row>
    <row r="118" spans="1:6" ht="15.75">
      <c r="A118" s="183"/>
      <c r="B118" s="183"/>
      <c r="C118" s="183"/>
      <c r="D118" s="183"/>
      <c r="E118" s="183"/>
      <c r="F118" s="183"/>
    </row>
    <row r="119" spans="1:6" ht="15.75">
      <c r="A119" s="183"/>
      <c r="B119" s="183"/>
      <c r="C119" s="183"/>
      <c r="D119" s="183"/>
      <c r="E119" s="183"/>
      <c r="F119" s="183"/>
    </row>
    <row r="120" spans="1:6" ht="15.75">
      <c r="A120" s="183"/>
      <c r="B120" s="183"/>
      <c r="C120" s="183"/>
      <c r="D120" s="183"/>
      <c r="E120" s="183"/>
      <c r="F120" s="183"/>
    </row>
    <row r="121" spans="1:6" ht="15.75">
      <c r="A121" s="183"/>
      <c r="B121" s="183"/>
      <c r="C121" s="183"/>
      <c r="D121" s="183"/>
      <c r="E121" s="183"/>
      <c r="F121" s="183"/>
    </row>
    <row r="122" spans="1:6" ht="15.75">
      <c r="A122" s="183"/>
      <c r="B122" s="183"/>
      <c r="C122" s="183"/>
      <c r="D122" s="183"/>
      <c r="E122" s="183"/>
      <c r="F122" s="183"/>
    </row>
    <row r="123" spans="1:6" ht="15.75">
      <c r="A123" s="183"/>
      <c r="B123" s="183"/>
      <c r="C123" s="183"/>
      <c r="D123" s="183"/>
      <c r="E123" s="183"/>
      <c r="F123" s="183"/>
    </row>
    <row r="124" spans="1:6" ht="15.75">
      <c r="A124" s="183"/>
      <c r="B124" s="183"/>
      <c r="C124" s="183"/>
      <c r="D124" s="183"/>
      <c r="E124" s="183"/>
      <c r="F124" s="183"/>
    </row>
    <row r="125" spans="1:6" ht="15.75">
      <c r="A125" s="183"/>
      <c r="B125" s="183"/>
      <c r="C125" s="183"/>
      <c r="D125" s="183"/>
      <c r="E125" s="183"/>
      <c r="F125" s="183"/>
    </row>
    <row r="126" spans="1:6" ht="15.75">
      <c r="A126" s="183"/>
      <c r="B126" s="183"/>
      <c r="C126" s="183"/>
      <c r="D126" s="183"/>
      <c r="E126" s="183"/>
      <c r="F126" s="183"/>
    </row>
    <row r="127" spans="1:6" ht="15.75">
      <c r="A127" s="183"/>
      <c r="B127" s="183"/>
      <c r="C127" s="183"/>
      <c r="D127" s="183"/>
      <c r="E127" s="183"/>
      <c r="F127" s="183"/>
    </row>
    <row r="128" spans="1:6" ht="15.75">
      <c r="A128" s="183"/>
      <c r="B128" s="183"/>
      <c r="C128" s="183"/>
      <c r="D128" s="183"/>
      <c r="E128" s="183"/>
      <c r="F128" s="183"/>
    </row>
    <row r="129" spans="1:6" ht="15.75">
      <c r="A129" s="183"/>
      <c r="B129" s="183"/>
      <c r="C129" s="183"/>
      <c r="D129" s="183"/>
      <c r="E129" s="183"/>
      <c r="F129" s="183"/>
    </row>
    <row r="130" spans="1:6" ht="15.75">
      <c r="A130" s="183"/>
      <c r="B130" s="183"/>
      <c r="C130" s="183"/>
      <c r="D130" s="183"/>
      <c r="E130" s="183"/>
      <c r="F130" s="183"/>
    </row>
    <row r="131" spans="1:6" ht="15.75">
      <c r="A131" s="183"/>
      <c r="B131" s="183"/>
      <c r="C131" s="183"/>
      <c r="D131" s="183"/>
      <c r="E131" s="183"/>
      <c r="F131" s="183"/>
    </row>
    <row r="132" spans="1:6" ht="15.75">
      <c r="A132" s="183"/>
      <c r="B132" s="183"/>
      <c r="C132" s="183"/>
      <c r="D132" s="183"/>
      <c r="E132" s="183"/>
      <c r="F132" s="183"/>
    </row>
    <row r="133" spans="1:6" ht="15.75">
      <c r="A133" s="183"/>
      <c r="B133" s="183"/>
      <c r="C133" s="183"/>
      <c r="D133" s="183"/>
      <c r="E133" s="183"/>
      <c r="F133" s="183"/>
    </row>
    <row r="134" spans="1:6" ht="15.75">
      <c r="A134" s="183"/>
      <c r="B134" s="183"/>
      <c r="C134" s="183"/>
      <c r="D134" s="183"/>
      <c r="E134" s="183"/>
      <c r="F134" s="183"/>
    </row>
    <row r="135" spans="1:6" ht="15.75">
      <c r="A135" s="183"/>
      <c r="B135" s="183"/>
      <c r="C135" s="183"/>
      <c r="D135" s="183"/>
      <c r="E135" s="183"/>
      <c r="F135" s="183"/>
    </row>
    <row r="136" spans="1:6" ht="15.75">
      <c r="A136" s="183"/>
      <c r="B136" s="183"/>
      <c r="C136" s="183"/>
      <c r="D136" s="183"/>
      <c r="E136" s="183"/>
      <c r="F136" s="183"/>
    </row>
    <row r="137" spans="1:6" ht="15.75">
      <c r="A137" s="183"/>
      <c r="B137" s="183"/>
      <c r="C137" s="183"/>
      <c r="D137" s="183"/>
      <c r="E137" s="183"/>
      <c r="F137" s="183"/>
    </row>
    <row r="138" spans="1:6" ht="15.75">
      <c r="A138" s="183"/>
      <c r="B138" s="183"/>
      <c r="C138" s="183"/>
      <c r="D138" s="183"/>
      <c r="E138" s="183"/>
      <c r="F138" s="183"/>
    </row>
  </sheetData>
  <mergeCells count="26">
    <mergeCell ref="A59:B59"/>
    <mergeCell ref="A60:B60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B1" workbookViewId="0">
      <selection activeCell="C36" sqref="C36"/>
    </sheetView>
  </sheetViews>
  <sheetFormatPr defaultColWidth="8" defaultRowHeight="12.75"/>
  <cols>
    <col min="1" max="1" width="27.25" style="65" bestFit="1" customWidth="1"/>
    <col min="2" max="2" width="26.625" style="65" bestFit="1" customWidth="1"/>
    <col min="3" max="3" width="14.375" style="65" customWidth="1"/>
    <col min="4" max="4" width="14.875" style="65" bestFit="1" customWidth="1"/>
    <col min="5" max="5" width="47.25" style="65" customWidth="1"/>
    <col min="6" max="16384" width="8" style="65"/>
  </cols>
  <sheetData>
    <row r="1" spans="1:5">
      <c r="A1" s="85" t="s">
        <v>60</v>
      </c>
      <c r="B1" s="86" t="s">
        <v>61</v>
      </c>
      <c r="C1" s="223">
        <v>2010</v>
      </c>
      <c r="D1" s="224"/>
      <c r="E1" s="64"/>
    </row>
    <row r="2" spans="1:5" ht="30" customHeight="1">
      <c r="A2" s="87"/>
      <c r="B2" s="88"/>
      <c r="C2" s="89" t="s">
        <v>5</v>
      </c>
      <c r="D2" s="90" t="s">
        <v>63</v>
      </c>
      <c r="E2" s="64"/>
    </row>
    <row r="3" spans="1:5">
      <c r="A3" s="75" t="s">
        <v>16</v>
      </c>
      <c r="B3" s="76" t="s">
        <v>76</v>
      </c>
      <c r="C3" s="77">
        <v>125779425.78</v>
      </c>
      <c r="D3" s="78">
        <v>130450730</v>
      </c>
      <c r="E3" s="64"/>
    </row>
    <row r="4" spans="1:5">
      <c r="A4" s="72"/>
      <c r="B4" s="73"/>
      <c r="C4" s="74">
        <f>SUBTOTAL(9,C3)</f>
        <v>125779425.78</v>
      </c>
      <c r="D4" s="83">
        <f>SUBTOTAL(9,D3)</f>
        <v>130450730</v>
      </c>
      <c r="E4" s="64"/>
    </row>
    <row r="5" spans="1:5">
      <c r="A5" s="67" t="s">
        <v>0</v>
      </c>
      <c r="B5" s="70" t="s">
        <v>77</v>
      </c>
      <c r="C5" s="71">
        <v>1500</v>
      </c>
      <c r="D5" s="84">
        <v>4000</v>
      </c>
      <c r="E5" s="64"/>
    </row>
    <row r="6" spans="1:5">
      <c r="A6" s="68"/>
      <c r="B6" s="70" t="s">
        <v>78</v>
      </c>
      <c r="C6" s="71">
        <v>0</v>
      </c>
      <c r="D6" s="84">
        <v>0</v>
      </c>
      <c r="E6" s="64"/>
    </row>
    <row r="7" spans="1:5">
      <c r="A7" s="72"/>
      <c r="B7" s="73"/>
      <c r="C7" s="74">
        <f>SUBTOTAL(9,C5:C6)</f>
        <v>1500</v>
      </c>
      <c r="D7" s="83">
        <f>SUBTOTAL(9,D5:D6)</f>
        <v>4000</v>
      </c>
      <c r="E7" s="64"/>
    </row>
    <row r="8" spans="1:5">
      <c r="A8" s="67" t="s">
        <v>17</v>
      </c>
      <c r="B8" s="70" t="s">
        <v>79</v>
      </c>
      <c r="C8" s="71">
        <v>2400</v>
      </c>
      <c r="D8" s="84">
        <v>14200</v>
      </c>
      <c r="E8" s="64"/>
    </row>
    <row r="9" spans="1:5">
      <c r="A9" s="66"/>
      <c r="B9" s="70" t="s">
        <v>80</v>
      </c>
      <c r="C9" s="71">
        <v>0</v>
      </c>
      <c r="D9" s="84">
        <v>55620</v>
      </c>
      <c r="E9" s="64"/>
    </row>
    <row r="10" spans="1:5">
      <c r="A10" s="66"/>
      <c r="B10" s="70" t="s">
        <v>81</v>
      </c>
      <c r="C10" s="71">
        <v>419343.11</v>
      </c>
      <c r="D10" s="84">
        <v>1417315</v>
      </c>
      <c r="E10" s="64"/>
    </row>
    <row r="11" spans="1:5">
      <c r="A11" s="68"/>
      <c r="B11" s="70" t="s">
        <v>82</v>
      </c>
      <c r="C11" s="71">
        <v>502302.55</v>
      </c>
      <c r="D11" s="84">
        <v>2060000</v>
      </c>
      <c r="E11" s="64"/>
    </row>
    <row r="12" spans="1:5">
      <c r="A12" s="72"/>
      <c r="B12" s="73"/>
      <c r="C12" s="74">
        <f>SUBTOTAL(9,C8:C11)</f>
        <v>924045.65999999992</v>
      </c>
      <c r="D12" s="83">
        <f>SUBTOTAL(9,D8:D11)</f>
        <v>3547135</v>
      </c>
      <c r="E12" s="64"/>
    </row>
    <row r="13" spans="1:5">
      <c r="A13" s="67" t="s">
        <v>20</v>
      </c>
      <c r="B13" s="70" t="s">
        <v>83</v>
      </c>
      <c r="C13" s="71">
        <v>2338834.48</v>
      </c>
      <c r="D13" s="84">
        <v>6098272</v>
      </c>
      <c r="E13" s="64"/>
    </row>
    <row r="14" spans="1:5">
      <c r="A14" s="66"/>
      <c r="B14" s="70" t="s">
        <v>84</v>
      </c>
      <c r="C14" s="71">
        <v>1772995.22</v>
      </c>
      <c r="D14" s="84">
        <v>4608885</v>
      </c>
      <c r="E14" s="64"/>
    </row>
    <row r="15" spans="1:5">
      <c r="A15" s="66"/>
      <c r="B15" s="70" t="s">
        <v>85</v>
      </c>
      <c r="C15" s="71">
        <v>0</v>
      </c>
      <c r="D15" s="84">
        <v>0</v>
      </c>
      <c r="E15" s="64"/>
    </row>
    <row r="16" spans="1:5">
      <c r="A16" s="66"/>
      <c r="B16" s="70" t="s">
        <v>86</v>
      </c>
      <c r="C16" s="71">
        <v>2083729.5</v>
      </c>
      <c r="D16" s="84">
        <v>5953497</v>
      </c>
      <c r="E16" s="64"/>
    </row>
    <row r="17" spans="1:5">
      <c r="A17" s="66"/>
      <c r="B17" s="70" t="s">
        <v>87</v>
      </c>
      <c r="C17" s="71">
        <v>13100</v>
      </c>
      <c r="D17" s="84">
        <v>23000</v>
      </c>
      <c r="E17" s="64"/>
    </row>
    <row r="18" spans="1:5">
      <c r="A18" s="68"/>
      <c r="B18" s="70" t="s">
        <v>88</v>
      </c>
      <c r="C18" s="71">
        <v>70741.960000000006</v>
      </c>
      <c r="D18" s="84">
        <v>273450</v>
      </c>
      <c r="E18" s="64"/>
    </row>
    <row r="19" spans="1:5">
      <c r="A19" s="72"/>
      <c r="B19" s="73"/>
      <c r="C19" s="74">
        <f>SUBTOTAL(9,C13:C18)</f>
        <v>6279401.1600000001</v>
      </c>
      <c r="D19" s="83">
        <f>SUBTOTAL(9,D13:D18)</f>
        <v>16957104</v>
      </c>
      <c r="E19" s="64"/>
    </row>
    <row r="20" spans="1:5">
      <c r="A20" s="69" t="s">
        <v>22</v>
      </c>
      <c r="B20" s="70" t="s">
        <v>89</v>
      </c>
      <c r="C20" s="71">
        <v>699335.52</v>
      </c>
      <c r="D20" s="84">
        <v>2301020</v>
      </c>
      <c r="E20" s="64"/>
    </row>
    <row r="21" spans="1:5">
      <c r="A21" s="72"/>
      <c r="B21" s="73"/>
      <c r="C21" s="74">
        <f>SUBTOTAL(9,C20)</f>
        <v>699335.52</v>
      </c>
      <c r="D21" s="83">
        <f>SUBTOTAL(9,D20)</f>
        <v>2301020</v>
      </c>
      <c r="E21" s="64"/>
    </row>
    <row r="22" spans="1:5">
      <c r="A22" s="67" t="s">
        <v>18</v>
      </c>
      <c r="B22" s="70" t="s">
        <v>90</v>
      </c>
      <c r="C22" s="71">
        <v>442931.94</v>
      </c>
      <c r="D22" s="84">
        <v>3113690</v>
      </c>
      <c r="E22" s="64"/>
    </row>
    <row r="23" spans="1:5">
      <c r="A23" s="68"/>
      <c r="B23" s="70" t="s">
        <v>91</v>
      </c>
      <c r="C23" s="71">
        <v>11634.5</v>
      </c>
      <c r="D23" s="84">
        <v>19600</v>
      </c>
      <c r="E23" s="64"/>
    </row>
    <row r="24" spans="1:5">
      <c r="A24" s="72"/>
      <c r="B24" s="73"/>
      <c r="C24" s="74">
        <f>SUBTOTAL(9,C22:C23)</f>
        <v>454566.44</v>
      </c>
      <c r="D24" s="83">
        <f>SUBTOTAL(9,D22:D23)</f>
        <v>3133290</v>
      </c>
      <c r="E24" s="64"/>
    </row>
    <row r="25" spans="1:5">
      <c r="A25" s="69" t="s">
        <v>21</v>
      </c>
      <c r="B25" s="70" t="s">
        <v>92</v>
      </c>
      <c r="C25" s="71">
        <v>0</v>
      </c>
      <c r="D25" s="84">
        <v>0</v>
      </c>
      <c r="E25" s="64"/>
    </row>
    <row r="26" spans="1:5">
      <c r="A26" s="72"/>
      <c r="B26" s="73"/>
      <c r="C26" s="74">
        <f>SUBTOTAL(9,C25)</f>
        <v>0</v>
      </c>
      <c r="D26" s="83">
        <f>SUBTOTAL(9,D25)</f>
        <v>0</v>
      </c>
      <c r="E26" s="64"/>
    </row>
    <row r="27" spans="1:5">
      <c r="A27" s="67" t="s">
        <v>19</v>
      </c>
      <c r="B27" s="70" t="s">
        <v>93</v>
      </c>
      <c r="C27" s="71">
        <v>0</v>
      </c>
      <c r="D27" s="84">
        <v>0</v>
      </c>
      <c r="E27" s="64"/>
    </row>
    <row r="28" spans="1:5">
      <c r="A28" s="66"/>
      <c r="B28" s="70" t="s">
        <v>94</v>
      </c>
      <c r="C28" s="71">
        <v>303809.74</v>
      </c>
      <c r="D28" s="84">
        <v>519135</v>
      </c>
      <c r="E28" s="64"/>
    </row>
    <row r="29" spans="1:5">
      <c r="A29" s="68"/>
      <c r="B29" s="70" t="s">
        <v>95</v>
      </c>
      <c r="C29" s="71">
        <v>0</v>
      </c>
      <c r="D29" s="84">
        <v>0</v>
      </c>
      <c r="E29" s="64"/>
    </row>
    <row r="30" spans="1:5">
      <c r="A30" s="72"/>
      <c r="B30" s="73"/>
      <c r="C30" s="74">
        <f>SUBTOTAL(9,C27:C29)</f>
        <v>303809.74</v>
      </c>
      <c r="D30" s="83">
        <f>SUBTOTAL(9,D27:D29)</f>
        <v>519135</v>
      </c>
      <c r="E30" s="64"/>
    </row>
    <row r="31" spans="1:5">
      <c r="A31" s="67" t="s">
        <v>6</v>
      </c>
      <c r="B31" s="70" t="s">
        <v>96</v>
      </c>
      <c r="C31" s="71">
        <v>1373.77</v>
      </c>
      <c r="D31" s="84">
        <v>0</v>
      </c>
      <c r="E31" s="64"/>
    </row>
    <row r="32" spans="1:5">
      <c r="A32" s="68"/>
      <c r="B32" s="70" t="s">
        <v>97</v>
      </c>
      <c r="C32" s="71">
        <v>41283.160000000003</v>
      </c>
      <c r="D32" s="84">
        <v>45000</v>
      </c>
      <c r="E32" s="64"/>
    </row>
    <row r="33" spans="1:5">
      <c r="A33" s="72"/>
      <c r="B33" s="73"/>
      <c r="C33" s="74">
        <f>SUBTOTAL(9,C31:C32)</f>
        <v>42656.93</v>
      </c>
      <c r="D33" s="83">
        <f>SUBTOTAL(9,D31:D32)</f>
        <v>45000</v>
      </c>
      <c r="E33" s="64"/>
    </row>
    <row r="34" spans="1:5">
      <c r="A34" s="79"/>
      <c r="B34" s="80"/>
      <c r="C34" s="81">
        <f>SUBTOTAL(9,C2:C33)</f>
        <v>134484741.22999999</v>
      </c>
      <c r="D34" s="82">
        <f>SUBTOTAL(9,D2:D33)</f>
        <v>156957414</v>
      </c>
      <c r="E34" s="64"/>
    </row>
  </sheetData>
  <mergeCells count="1">
    <mergeCell ref="C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4" sqref="D4"/>
    </sheetView>
  </sheetViews>
  <sheetFormatPr defaultColWidth="12.625" defaultRowHeight="12.75"/>
  <cols>
    <col min="1" max="1" width="17.5" style="92" bestFit="1" customWidth="1"/>
    <col min="2" max="2" width="23.375" style="92" bestFit="1" customWidth="1"/>
    <col min="3" max="4" width="13.5" style="92" bestFit="1" customWidth="1"/>
    <col min="5" max="5" width="12.5" style="92" bestFit="1" customWidth="1"/>
    <col min="6" max="16384" width="12.625" style="92"/>
  </cols>
  <sheetData>
    <row r="1" spans="1:6" ht="13.5" customHeight="1">
      <c r="A1" s="104" t="s">
        <v>103</v>
      </c>
      <c r="B1" s="104" t="s">
        <v>60</v>
      </c>
      <c r="C1" s="105" t="s">
        <v>104</v>
      </c>
      <c r="D1" s="105" t="s">
        <v>105</v>
      </c>
      <c r="E1" s="106" t="s">
        <v>106</v>
      </c>
      <c r="F1" s="91"/>
    </row>
    <row r="2" spans="1:6" ht="15" customHeight="1">
      <c r="A2" s="93">
        <v>80</v>
      </c>
      <c r="B2" s="94" t="s">
        <v>11</v>
      </c>
      <c r="C2" s="101">
        <v>302496</v>
      </c>
      <c r="D2" s="101">
        <v>302973</v>
      </c>
      <c r="E2" s="102">
        <v>136994.62</v>
      </c>
      <c r="F2" s="91"/>
    </row>
    <row r="3" spans="1:6" ht="15" customHeight="1">
      <c r="A3" s="93">
        <v>76</v>
      </c>
      <c r="B3" s="94" t="s">
        <v>8</v>
      </c>
      <c r="C3" s="101">
        <v>411370</v>
      </c>
      <c r="D3" s="101">
        <v>449880</v>
      </c>
      <c r="E3" s="102">
        <v>289019.63</v>
      </c>
      <c r="F3" s="91"/>
    </row>
    <row r="4" spans="1:6" ht="15" customHeight="1">
      <c r="A4" s="93">
        <v>85</v>
      </c>
      <c r="B4" s="94" t="s">
        <v>107</v>
      </c>
      <c r="C4" s="101">
        <v>0</v>
      </c>
      <c r="D4" s="101">
        <v>0</v>
      </c>
      <c r="E4" s="102">
        <v>0</v>
      </c>
      <c r="F4" s="91"/>
    </row>
    <row r="5" spans="1:6" ht="15" customHeight="1">
      <c r="A5" s="93">
        <v>60</v>
      </c>
      <c r="B5" s="94" t="s">
        <v>9</v>
      </c>
      <c r="C5" s="101">
        <v>3263326</v>
      </c>
      <c r="D5" s="101">
        <v>3313660</v>
      </c>
      <c r="E5" s="102">
        <v>1521774.66</v>
      </c>
      <c r="F5" s="91"/>
    </row>
    <row r="6" spans="1:6" ht="15" customHeight="1">
      <c r="A6" s="93">
        <v>48</v>
      </c>
      <c r="B6" s="94" t="s">
        <v>50</v>
      </c>
      <c r="C6" s="101">
        <v>10604579</v>
      </c>
      <c r="D6" s="101">
        <v>10781418</v>
      </c>
      <c r="E6" s="102">
        <v>5308214.72</v>
      </c>
      <c r="F6" s="91"/>
    </row>
    <row r="7" spans="1:6" ht="15" customHeight="1">
      <c r="A7" s="93">
        <v>41</v>
      </c>
      <c r="B7" s="94" t="s">
        <v>49</v>
      </c>
      <c r="C7" s="101">
        <v>36033186</v>
      </c>
      <c r="D7" s="101">
        <v>40213443</v>
      </c>
      <c r="E7" s="102">
        <v>11063278.310000001</v>
      </c>
      <c r="F7" s="91"/>
    </row>
    <row r="8" spans="1:6" ht="15" customHeight="1">
      <c r="A8" s="93">
        <v>72</v>
      </c>
      <c r="B8" s="94" t="s">
        <v>10</v>
      </c>
      <c r="C8" s="101">
        <v>11603014</v>
      </c>
      <c r="D8" s="101">
        <v>11603799</v>
      </c>
      <c r="E8" s="102">
        <v>5465500.0300000003</v>
      </c>
      <c r="F8" s="91"/>
    </row>
    <row r="9" spans="1:6" ht="15" customHeight="1">
      <c r="A9" s="93">
        <v>44</v>
      </c>
      <c r="B9" s="94" t="s">
        <v>52</v>
      </c>
      <c r="C9" s="101">
        <v>14742575</v>
      </c>
      <c r="D9" s="101">
        <v>14758331</v>
      </c>
      <c r="E9" s="102">
        <v>7110684.3600000003</v>
      </c>
      <c r="F9" s="91"/>
    </row>
    <row r="10" spans="1:6" ht="15" customHeight="1">
      <c r="A10" s="93">
        <v>52</v>
      </c>
      <c r="B10" s="94" t="s">
        <v>53</v>
      </c>
      <c r="C10" s="101">
        <v>10775827</v>
      </c>
      <c r="D10" s="101">
        <v>10779624</v>
      </c>
      <c r="E10" s="102">
        <v>5358645.12</v>
      </c>
      <c r="F10" s="91"/>
    </row>
    <row r="11" spans="1:6" ht="15" customHeight="1">
      <c r="A11" s="93">
        <v>56</v>
      </c>
      <c r="B11" s="94" t="s">
        <v>7</v>
      </c>
      <c r="C11" s="101">
        <v>10781064</v>
      </c>
      <c r="D11" s="101">
        <v>10820910</v>
      </c>
      <c r="E11" s="102">
        <v>4565598.2300000004</v>
      </c>
      <c r="F11" s="91"/>
    </row>
    <row r="12" spans="1:6" ht="15" customHeight="1">
      <c r="A12" s="93">
        <v>64</v>
      </c>
      <c r="B12" s="94" t="s">
        <v>51</v>
      </c>
      <c r="C12" s="101">
        <v>45971504</v>
      </c>
      <c r="D12" s="101">
        <v>46233637</v>
      </c>
      <c r="E12" s="102">
        <v>23496387.489999998</v>
      </c>
      <c r="F12" s="91"/>
    </row>
    <row r="13" spans="1:6" ht="15" customHeight="1">
      <c r="A13" s="93">
        <v>68</v>
      </c>
      <c r="B13" s="94" t="s">
        <v>108</v>
      </c>
      <c r="C13" s="101">
        <v>0</v>
      </c>
      <c r="D13" s="101">
        <v>0</v>
      </c>
      <c r="E13" s="102">
        <v>0</v>
      </c>
      <c r="F13" s="91"/>
    </row>
    <row r="14" spans="1:6" ht="15" customHeight="1">
      <c r="A14" s="95">
        <v>88</v>
      </c>
      <c r="B14" s="96" t="s">
        <v>12</v>
      </c>
      <c r="C14" s="101">
        <v>8370000</v>
      </c>
      <c r="D14" s="101">
        <v>8420000</v>
      </c>
      <c r="E14" s="102">
        <v>7790000</v>
      </c>
      <c r="F14" s="91"/>
    </row>
    <row r="15" spans="1:6" ht="12.75" customHeight="1">
      <c r="A15" s="97"/>
      <c r="B15" s="91"/>
      <c r="C15" s="98">
        <f>SUBTOTAL(9,C2:C14)</f>
        <v>152858941</v>
      </c>
      <c r="D15" s="98">
        <f>SUBTOTAL(9,D2:D14)</f>
        <v>157677675</v>
      </c>
      <c r="E15" s="98">
        <f>SUBTOTAL(9,E2:E14)</f>
        <v>72106097.170000002</v>
      </c>
      <c r="F15" s="91"/>
    </row>
    <row r="16" spans="1:6" ht="14.25" customHeight="1">
      <c r="A16" s="99"/>
      <c r="B16" s="100"/>
      <c r="C16" s="100"/>
      <c r="D16" s="100"/>
      <c r="E16" s="103"/>
      <c r="F16" s="91"/>
    </row>
    <row r="17" spans="1:6" ht="242.25" customHeight="1">
      <c r="A17" s="91"/>
      <c r="B17" s="91"/>
      <c r="C17" s="91"/>
      <c r="D17" s="91"/>
      <c r="E17" s="91"/>
      <c r="F17" s="9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opLeftCell="B1" zoomScaleNormal="100" workbookViewId="0">
      <selection activeCell="B43" sqref="B43"/>
    </sheetView>
  </sheetViews>
  <sheetFormatPr defaultColWidth="8" defaultRowHeight="12.75"/>
  <cols>
    <col min="1" max="1" width="27.25" style="65" bestFit="1" customWidth="1"/>
    <col min="2" max="2" width="26.625" style="65" bestFit="1" customWidth="1"/>
    <col min="3" max="3" width="14.375" style="65" customWidth="1"/>
    <col min="4" max="4" width="14.875" style="65" bestFit="1" customWidth="1"/>
    <col min="5" max="5" width="47.25" style="65" customWidth="1"/>
    <col min="6" max="16384" width="8" style="65"/>
  </cols>
  <sheetData>
    <row r="1" spans="1:5">
      <c r="A1" s="85" t="s">
        <v>60</v>
      </c>
      <c r="B1" s="86" t="s">
        <v>61</v>
      </c>
      <c r="C1" s="223">
        <v>2010</v>
      </c>
      <c r="D1" s="224"/>
      <c r="E1" s="64"/>
    </row>
    <row r="2" spans="1:5" ht="30" customHeight="1">
      <c r="A2" s="87"/>
      <c r="B2" s="88"/>
      <c r="C2" s="89" t="s">
        <v>5</v>
      </c>
      <c r="D2" s="90" t="s">
        <v>63</v>
      </c>
      <c r="E2" s="64"/>
    </row>
    <row r="3" spans="1:5">
      <c r="A3" s="75" t="s">
        <v>16</v>
      </c>
      <c r="B3" s="76" t="s">
        <v>76</v>
      </c>
      <c r="C3" s="77">
        <v>61761935.259999998</v>
      </c>
      <c r="D3" s="78">
        <v>130450730</v>
      </c>
      <c r="E3" s="64"/>
    </row>
    <row r="4" spans="1:5">
      <c r="A4" s="72"/>
      <c r="B4" s="73"/>
      <c r="C4" s="74">
        <f>SUBTOTAL(9,C3)</f>
        <v>61761935.259999998</v>
      </c>
      <c r="D4" s="83">
        <f>SUBTOTAL(9,D3)</f>
        <v>130450730</v>
      </c>
      <c r="E4" s="64"/>
    </row>
    <row r="5" spans="1:5">
      <c r="A5" s="67" t="s">
        <v>0</v>
      </c>
      <c r="B5" s="70" t="s">
        <v>77</v>
      </c>
      <c r="C5" s="71">
        <v>500</v>
      </c>
      <c r="D5" s="84">
        <v>4000</v>
      </c>
      <c r="E5" s="64"/>
    </row>
    <row r="6" spans="1:5">
      <c r="A6" s="68"/>
      <c r="B6" s="70" t="s">
        <v>78</v>
      </c>
      <c r="C6" s="71">
        <v>0</v>
      </c>
      <c r="D6" s="84">
        <v>0</v>
      </c>
      <c r="E6" s="64"/>
    </row>
    <row r="7" spans="1:5">
      <c r="A7" s="72"/>
      <c r="B7" s="73"/>
      <c r="C7" s="74">
        <f>SUBTOTAL(9,C5:C6)</f>
        <v>500</v>
      </c>
      <c r="D7" s="83">
        <f>SUBTOTAL(9,D5:D6)</f>
        <v>4000</v>
      </c>
      <c r="E7" s="64"/>
    </row>
    <row r="8" spans="1:5">
      <c r="A8" s="67" t="s">
        <v>17</v>
      </c>
      <c r="B8" s="70" t="s">
        <v>79</v>
      </c>
      <c r="C8" s="71">
        <v>800</v>
      </c>
      <c r="D8" s="84">
        <v>14200</v>
      </c>
      <c r="E8" s="64"/>
    </row>
    <row r="9" spans="1:5">
      <c r="A9" s="66"/>
      <c r="B9" s="70" t="s">
        <v>80</v>
      </c>
      <c r="C9" s="71">
        <v>0</v>
      </c>
      <c r="D9" s="84">
        <v>55620</v>
      </c>
      <c r="E9" s="64"/>
    </row>
    <row r="10" spans="1:5">
      <c r="A10" s="66"/>
      <c r="B10" s="70" t="s">
        <v>81</v>
      </c>
      <c r="C10" s="71">
        <v>127287.4</v>
      </c>
      <c r="D10" s="84">
        <v>1417315</v>
      </c>
      <c r="E10" s="64"/>
    </row>
    <row r="11" spans="1:5">
      <c r="A11" s="68"/>
      <c r="B11" s="70" t="s">
        <v>82</v>
      </c>
      <c r="C11" s="71">
        <v>0</v>
      </c>
      <c r="D11" s="84">
        <v>2060000</v>
      </c>
      <c r="E11" s="64"/>
    </row>
    <row r="12" spans="1:5">
      <c r="A12" s="72"/>
      <c r="B12" s="73"/>
      <c r="C12" s="74">
        <f>SUBTOTAL(9,C8:C11)</f>
        <v>128087.4</v>
      </c>
      <c r="D12" s="83">
        <f>SUBTOTAL(9,D8:D11)</f>
        <v>3547135</v>
      </c>
      <c r="E12" s="64"/>
    </row>
    <row r="13" spans="1:5">
      <c r="A13" s="67" t="s">
        <v>20</v>
      </c>
      <c r="B13" s="70" t="s">
        <v>83</v>
      </c>
      <c r="C13" s="71">
        <v>866121.01</v>
      </c>
      <c r="D13" s="84">
        <v>6098272</v>
      </c>
      <c r="E13" s="64"/>
    </row>
    <row r="14" spans="1:5">
      <c r="A14" s="66"/>
      <c r="B14" s="70" t="s">
        <v>84</v>
      </c>
      <c r="C14" s="71">
        <v>1000415.83</v>
      </c>
      <c r="D14" s="84">
        <v>4608885</v>
      </c>
      <c r="E14" s="64"/>
    </row>
    <row r="15" spans="1:5">
      <c r="A15" s="66"/>
      <c r="B15" s="70" t="s">
        <v>85</v>
      </c>
      <c r="C15" s="71">
        <v>0</v>
      </c>
      <c r="D15" s="84">
        <v>0</v>
      </c>
      <c r="E15" s="64"/>
    </row>
    <row r="16" spans="1:5">
      <c r="A16" s="66"/>
      <c r="B16" s="70" t="s">
        <v>86</v>
      </c>
      <c r="C16" s="71">
        <v>1062287.6100000001</v>
      </c>
      <c r="D16" s="84">
        <v>5953497</v>
      </c>
      <c r="E16" s="64"/>
    </row>
    <row r="17" spans="1:5">
      <c r="A17" s="66"/>
      <c r="B17" s="70" t="s">
        <v>87</v>
      </c>
      <c r="C17" s="71">
        <v>6640</v>
      </c>
      <c r="D17" s="84">
        <v>23000</v>
      </c>
      <c r="E17" s="64"/>
    </row>
    <row r="18" spans="1:5">
      <c r="A18" s="68"/>
      <c r="B18" s="70" t="s">
        <v>88</v>
      </c>
      <c r="C18" s="71">
        <v>29939.88</v>
      </c>
      <c r="D18" s="84">
        <v>273450</v>
      </c>
      <c r="E18" s="64"/>
    </row>
    <row r="19" spans="1:5">
      <c r="A19" s="72"/>
      <c r="B19" s="73"/>
      <c r="C19" s="74">
        <f>SUBTOTAL(9,C13:C18)</f>
        <v>2965404.33</v>
      </c>
      <c r="D19" s="83">
        <f>SUBTOTAL(9,D13:D18)</f>
        <v>16957104</v>
      </c>
      <c r="E19" s="64"/>
    </row>
    <row r="20" spans="1:5">
      <c r="A20" s="69" t="s">
        <v>22</v>
      </c>
      <c r="B20" s="70" t="s">
        <v>89</v>
      </c>
      <c r="C20" s="71">
        <v>382802.16</v>
      </c>
      <c r="D20" s="84">
        <v>2301020</v>
      </c>
      <c r="E20" s="64"/>
    </row>
    <row r="21" spans="1:5">
      <c r="A21" s="72"/>
      <c r="B21" s="73"/>
      <c r="C21" s="74">
        <f>SUBTOTAL(9,C20)</f>
        <v>382802.16</v>
      </c>
      <c r="D21" s="83">
        <f>SUBTOTAL(9,D20)</f>
        <v>2301020</v>
      </c>
      <c r="E21" s="64"/>
    </row>
    <row r="22" spans="1:5">
      <c r="A22" s="67" t="s">
        <v>18</v>
      </c>
      <c r="B22" s="70" t="s">
        <v>90</v>
      </c>
      <c r="C22" s="71">
        <v>296343.57</v>
      </c>
      <c r="D22" s="84">
        <v>3113690</v>
      </c>
      <c r="E22" s="64"/>
    </row>
    <row r="23" spans="1:5">
      <c r="A23" s="68"/>
      <c r="B23" s="70" t="s">
        <v>91</v>
      </c>
      <c r="C23" s="71">
        <v>3667</v>
      </c>
      <c r="D23" s="84">
        <v>19600</v>
      </c>
      <c r="E23" s="64"/>
    </row>
    <row r="24" spans="1:5">
      <c r="A24" s="72"/>
      <c r="B24" s="73"/>
      <c r="C24" s="74">
        <f>SUBTOTAL(9,C22:C23)</f>
        <v>300010.57</v>
      </c>
      <c r="D24" s="83">
        <f>SUBTOTAL(9,D22:D23)</f>
        <v>3133290</v>
      </c>
      <c r="E24" s="64"/>
    </row>
    <row r="25" spans="1:5">
      <c r="A25" s="69" t="s">
        <v>21</v>
      </c>
      <c r="B25" s="70" t="s">
        <v>92</v>
      </c>
      <c r="C25" s="71">
        <v>0</v>
      </c>
      <c r="D25" s="84">
        <v>0</v>
      </c>
      <c r="E25" s="64"/>
    </row>
    <row r="26" spans="1:5">
      <c r="A26" s="72"/>
      <c r="B26" s="73"/>
      <c r="C26" s="74">
        <f>SUBTOTAL(9,C25)</f>
        <v>0</v>
      </c>
      <c r="D26" s="83">
        <f>SUBTOTAL(9,D25)</f>
        <v>0</v>
      </c>
      <c r="E26" s="64"/>
    </row>
    <row r="27" spans="1:5">
      <c r="A27" s="67" t="s">
        <v>19</v>
      </c>
      <c r="B27" s="70" t="s">
        <v>93</v>
      </c>
      <c r="C27" s="71">
        <v>0</v>
      </c>
      <c r="D27" s="84">
        <v>0</v>
      </c>
      <c r="E27" s="64"/>
    </row>
    <row r="28" spans="1:5">
      <c r="A28" s="66"/>
      <c r="B28" s="70" t="s">
        <v>94</v>
      </c>
      <c r="C28" s="71">
        <v>126744.71</v>
      </c>
      <c r="D28" s="84">
        <v>519135</v>
      </c>
      <c r="E28" s="64"/>
    </row>
    <row r="29" spans="1:5">
      <c r="A29" s="68"/>
      <c r="B29" s="70" t="s">
        <v>95</v>
      </c>
      <c r="C29" s="71">
        <v>0</v>
      </c>
      <c r="D29" s="84">
        <v>0</v>
      </c>
      <c r="E29" s="64"/>
    </row>
    <row r="30" spans="1:5">
      <c r="A30" s="72"/>
      <c r="B30" s="73"/>
      <c r="C30" s="74">
        <f>SUBTOTAL(9,C27:C29)</f>
        <v>126744.71</v>
      </c>
      <c r="D30" s="83">
        <f>SUBTOTAL(9,D27:D29)</f>
        <v>519135</v>
      </c>
      <c r="E30" s="64"/>
    </row>
    <row r="31" spans="1:5">
      <c r="A31" s="67" t="s">
        <v>6</v>
      </c>
      <c r="B31" s="70" t="s">
        <v>96</v>
      </c>
      <c r="C31" s="71">
        <v>0</v>
      </c>
      <c r="D31" s="84">
        <v>0</v>
      </c>
      <c r="E31" s="64"/>
    </row>
    <row r="32" spans="1:5">
      <c r="A32" s="68"/>
      <c r="B32" s="70" t="s">
        <v>97</v>
      </c>
      <c r="C32" s="71">
        <v>0</v>
      </c>
      <c r="D32" s="84">
        <v>45000</v>
      </c>
      <c r="E32" s="64"/>
    </row>
    <row r="33" spans="1:5">
      <c r="A33" s="72"/>
      <c r="B33" s="73"/>
      <c r="C33" s="74">
        <f>SUBTOTAL(9,C31:C32)</f>
        <v>0</v>
      </c>
      <c r="D33" s="83">
        <f>SUBTOTAL(9,D31:D32)</f>
        <v>45000</v>
      </c>
      <c r="E33" s="64"/>
    </row>
    <row r="34" spans="1:5">
      <c r="A34" s="79"/>
      <c r="B34" s="80"/>
      <c r="C34" s="81">
        <f>SUBTOTAL(9,C2:C33)</f>
        <v>65665484.429999992</v>
      </c>
      <c r="D34" s="82">
        <f>SUBTOTAL(9,D2:D33)</f>
        <v>156957414</v>
      </c>
      <c r="E34" s="64"/>
    </row>
  </sheetData>
  <mergeCells count="1">
    <mergeCell ref="C1:D1"/>
  </mergeCells>
  <phoneticPr fontId="12" type="noConversion"/>
  <printOptions horizontalCentered="1"/>
  <pageMargins left="0.248" right="0.22" top="1" bottom="0.76400000000000001" header="0.25" footer="0.22"/>
  <pageSetup orientation="portrait" r:id="rId1"/>
  <headerFooter alignWithMargins="0">
    <oddHeader>&amp;L&amp;"Arial"&amp;10Detail Filter:  Fiscal Year  &gt;=  2010  and  Fund  =  001 &amp;C&amp;B&amp;"Times New Roman"&amp;14Actual Revenues and Original Revenue Budgets&amp;R&amp;"Arial"&amp;8Date: 1/4/2010</oddHeader>
    <oddFooter>&amp;L&amp;C&amp;"Arial"&amp;10Page &amp;P&amp;R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sqref="A1:IV65536"/>
    </sheetView>
  </sheetViews>
  <sheetFormatPr defaultColWidth="12.625" defaultRowHeight="12.75"/>
  <cols>
    <col min="1" max="1" width="17.5" style="92" bestFit="1" customWidth="1"/>
    <col min="2" max="2" width="23.375" style="92" bestFit="1" customWidth="1"/>
    <col min="3" max="4" width="13.5" style="92" bestFit="1" customWidth="1"/>
    <col min="5" max="5" width="12.5" style="92" bestFit="1" customWidth="1"/>
    <col min="6" max="16384" width="12.625" style="92"/>
  </cols>
  <sheetData>
    <row r="1" spans="1:6" ht="13.5" customHeight="1">
      <c r="A1" s="104" t="s">
        <v>103</v>
      </c>
      <c r="B1" s="104" t="s">
        <v>60</v>
      </c>
      <c r="C1" s="105" t="s">
        <v>104</v>
      </c>
      <c r="D1" s="105" t="s">
        <v>105</v>
      </c>
      <c r="E1" s="106" t="s">
        <v>106</v>
      </c>
      <c r="F1" s="91"/>
    </row>
    <row r="2" spans="1:6" ht="15" customHeight="1">
      <c r="A2" s="93">
        <v>80</v>
      </c>
      <c r="B2" s="94" t="s">
        <v>11</v>
      </c>
      <c r="C2" s="101">
        <v>302496</v>
      </c>
      <c r="D2" s="101">
        <v>302973</v>
      </c>
      <c r="E2" s="102">
        <v>60196.95</v>
      </c>
      <c r="F2" s="91"/>
    </row>
    <row r="3" spans="1:6" ht="15" customHeight="1">
      <c r="A3" s="93">
        <v>76</v>
      </c>
      <c r="B3" s="94" t="s">
        <v>8</v>
      </c>
      <c r="C3" s="101">
        <v>411370</v>
      </c>
      <c r="D3" s="101">
        <v>449880</v>
      </c>
      <c r="E3" s="102">
        <v>53040.800000000003</v>
      </c>
      <c r="F3" s="91"/>
    </row>
    <row r="4" spans="1:6" ht="15" customHeight="1">
      <c r="A4" s="93">
        <v>85</v>
      </c>
      <c r="B4" s="94" t="s">
        <v>107</v>
      </c>
      <c r="C4" s="101">
        <v>0</v>
      </c>
      <c r="D4" s="101">
        <v>0</v>
      </c>
      <c r="E4" s="102">
        <v>0</v>
      </c>
      <c r="F4" s="91"/>
    </row>
    <row r="5" spans="1:6" ht="15" customHeight="1">
      <c r="A5" s="93">
        <v>60</v>
      </c>
      <c r="B5" s="94" t="s">
        <v>9</v>
      </c>
      <c r="C5" s="101">
        <v>3263326</v>
      </c>
      <c r="D5" s="101">
        <v>3313660</v>
      </c>
      <c r="E5" s="102">
        <v>397662.91</v>
      </c>
      <c r="F5" s="91"/>
    </row>
    <row r="6" spans="1:6" ht="15" customHeight="1">
      <c r="A6" s="93">
        <v>48</v>
      </c>
      <c r="B6" s="94" t="s">
        <v>50</v>
      </c>
      <c r="C6" s="101">
        <v>10604579</v>
      </c>
      <c r="D6" s="101">
        <v>10781418</v>
      </c>
      <c r="E6" s="102">
        <v>2262421.56</v>
      </c>
      <c r="F6" s="91"/>
    </row>
    <row r="7" spans="1:6" ht="15" customHeight="1">
      <c r="A7" s="93">
        <v>41</v>
      </c>
      <c r="B7" s="94" t="s">
        <v>49</v>
      </c>
      <c r="C7" s="101">
        <v>36033186</v>
      </c>
      <c r="D7" s="101">
        <v>40409896</v>
      </c>
      <c r="E7" s="102">
        <v>5852039.46</v>
      </c>
      <c r="F7" s="91"/>
    </row>
    <row r="8" spans="1:6" ht="15" customHeight="1">
      <c r="A8" s="93">
        <v>72</v>
      </c>
      <c r="B8" s="94" t="s">
        <v>10</v>
      </c>
      <c r="C8" s="101">
        <v>11603014</v>
      </c>
      <c r="D8" s="101">
        <v>11603799</v>
      </c>
      <c r="E8" s="102">
        <v>2506376.27</v>
      </c>
      <c r="F8" s="91"/>
    </row>
    <row r="9" spans="1:6" ht="15" customHeight="1">
      <c r="A9" s="93">
        <v>44</v>
      </c>
      <c r="B9" s="94" t="s">
        <v>52</v>
      </c>
      <c r="C9" s="101">
        <v>14742575</v>
      </c>
      <c r="D9" s="101">
        <v>14758331</v>
      </c>
      <c r="E9" s="102">
        <v>3094036.91</v>
      </c>
      <c r="F9" s="91"/>
    </row>
    <row r="10" spans="1:6" ht="15" customHeight="1">
      <c r="A10" s="93">
        <v>52</v>
      </c>
      <c r="B10" s="94" t="s">
        <v>53</v>
      </c>
      <c r="C10" s="101">
        <v>10775827</v>
      </c>
      <c r="D10" s="101">
        <v>10779624</v>
      </c>
      <c r="E10" s="102">
        <v>2477263.4</v>
      </c>
      <c r="F10" s="91"/>
    </row>
    <row r="11" spans="1:6" ht="15" customHeight="1">
      <c r="A11" s="93">
        <v>56</v>
      </c>
      <c r="B11" s="94" t="s">
        <v>7</v>
      </c>
      <c r="C11" s="101">
        <v>10781064</v>
      </c>
      <c r="D11" s="101">
        <v>10820910</v>
      </c>
      <c r="E11" s="102">
        <v>1969355.35</v>
      </c>
      <c r="F11" s="91"/>
    </row>
    <row r="12" spans="1:6" ht="15" customHeight="1">
      <c r="A12" s="93">
        <v>64</v>
      </c>
      <c r="B12" s="94" t="s">
        <v>51</v>
      </c>
      <c r="C12" s="101">
        <v>45971504</v>
      </c>
      <c r="D12" s="101">
        <v>46045637</v>
      </c>
      <c r="E12" s="102">
        <v>10570096.859999999</v>
      </c>
      <c r="F12" s="91"/>
    </row>
    <row r="13" spans="1:6" ht="15" customHeight="1">
      <c r="A13" s="93">
        <v>68</v>
      </c>
      <c r="B13" s="94" t="s">
        <v>108</v>
      </c>
      <c r="C13" s="101">
        <v>0</v>
      </c>
      <c r="D13" s="101">
        <v>0</v>
      </c>
      <c r="E13" s="102">
        <v>0</v>
      </c>
      <c r="F13" s="91"/>
    </row>
    <row r="14" spans="1:6" ht="15" customHeight="1">
      <c r="A14" s="95">
        <v>88</v>
      </c>
      <c r="B14" s="96" t="s">
        <v>12</v>
      </c>
      <c r="C14" s="101">
        <v>8370000</v>
      </c>
      <c r="D14" s="101">
        <v>8370000</v>
      </c>
      <c r="E14" s="102">
        <v>0</v>
      </c>
      <c r="F14" s="91"/>
    </row>
    <row r="15" spans="1:6" ht="12.75" customHeight="1">
      <c r="A15" s="97"/>
      <c r="B15" s="91"/>
      <c r="C15" s="98">
        <f>SUBTOTAL(9,C2:C14)</f>
        <v>152858941</v>
      </c>
      <c r="D15" s="98">
        <f>SUBTOTAL(9,D2:D14)</f>
        <v>157636128</v>
      </c>
      <c r="E15" s="98">
        <f>SUBTOTAL(9,E2:E14)</f>
        <v>29242490.469999999</v>
      </c>
      <c r="F15" s="91"/>
    </row>
    <row r="16" spans="1:6" ht="14.25" customHeight="1">
      <c r="A16" s="99"/>
      <c r="B16" s="100"/>
      <c r="C16" s="100"/>
      <c r="D16" s="100"/>
      <c r="E16" s="103"/>
      <c r="F16" s="91"/>
    </row>
    <row r="17" spans="1:6" ht="242.25" customHeight="1">
      <c r="A17" s="91"/>
      <c r="B17" s="91"/>
      <c r="C17" s="91"/>
      <c r="D17" s="91"/>
      <c r="E17" s="91"/>
      <c r="F17" s="91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r:id="rId1"/>
  <headerFooter alignWithMargins="0">
    <oddHeader>&amp;L&amp;B&amp;"Arial"&amp;10Fund: 1&amp;C&amp;B&amp;"Times New Roman"&amp;14Expenditure / Budget for FY2010&amp;R&amp;"Arial"&amp;8Date: 1/6/2010</oddHeader>
    <oddFooter>&amp;L&amp;C&amp;"Arial"&amp;10Page &amp;P&amp;R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opLeftCell="B1" workbookViewId="0">
      <pane ySplit="1" topLeftCell="A2" activePane="bottomLeft" state="frozen"/>
      <selection pane="bottomLeft" activeCell="E38" sqref="E38"/>
    </sheetView>
  </sheetViews>
  <sheetFormatPr defaultColWidth="8" defaultRowHeight="12.75"/>
  <cols>
    <col min="1" max="1" width="27.25" style="30" bestFit="1" customWidth="1"/>
    <col min="2" max="2" width="26.625" style="30" bestFit="1" customWidth="1"/>
    <col min="3" max="3" width="9.125" style="30" bestFit="1" customWidth="1"/>
    <col min="4" max="4" width="13.5" style="30" bestFit="1" customWidth="1"/>
    <col min="5" max="5" width="18.875" style="30" bestFit="1" customWidth="1"/>
    <col min="6" max="6" width="12.5" style="30" bestFit="1" customWidth="1"/>
    <col min="7" max="7" width="11.875" style="30" bestFit="1" customWidth="1"/>
    <col min="8" max="10" width="12.5" style="30" bestFit="1" customWidth="1"/>
    <col min="11" max="14" width="11.875" style="30" bestFit="1" customWidth="1"/>
    <col min="15" max="16" width="12.75" style="30" bestFit="1" customWidth="1"/>
    <col min="17" max="17" width="12.75" style="30" customWidth="1"/>
    <col min="18" max="18" width="13.5" style="30" bestFit="1" customWidth="1"/>
    <col min="19" max="19" width="10.75" style="30" bestFit="1" customWidth="1"/>
    <col min="20" max="16384" width="8" style="30"/>
  </cols>
  <sheetData>
    <row r="1" spans="1:19" ht="25.5">
      <c r="A1" s="43" t="s">
        <v>60</v>
      </c>
      <c r="B1" s="44" t="s">
        <v>61</v>
      </c>
      <c r="C1" s="44" t="s">
        <v>62</v>
      </c>
      <c r="D1" s="44" t="s">
        <v>5</v>
      </c>
      <c r="E1" s="44" t="s">
        <v>63</v>
      </c>
      <c r="F1" s="44" t="s">
        <v>64</v>
      </c>
      <c r="G1" s="44" t="s">
        <v>65</v>
      </c>
      <c r="H1" s="44" t="s">
        <v>66</v>
      </c>
      <c r="I1" s="44" t="s">
        <v>67</v>
      </c>
      <c r="J1" s="44" t="s">
        <v>68</v>
      </c>
      <c r="K1" s="44" t="s">
        <v>69</v>
      </c>
      <c r="L1" s="44" t="s">
        <v>70</v>
      </c>
      <c r="M1" s="44" t="s">
        <v>71</v>
      </c>
      <c r="N1" s="44" t="s">
        <v>72</v>
      </c>
      <c r="O1" s="44" t="s">
        <v>73</v>
      </c>
      <c r="P1" s="44" t="s">
        <v>74</v>
      </c>
      <c r="Q1" s="45" t="s">
        <v>75</v>
      </c>
      <c r="R1" s="61" t="s">
        <v>100</v>
      </c>
      <c r="S1" s="61" t="s">
        <v>101</v>
      </c>
    </row>
    <row r="2" spans="1:19">
      <c r="A2" s="31" t="s">
        <v>16</v>
      </c>
      <c r="B2" s="36" t="s">
        <v>76</v>
      </c>
      <c r="C2" s="37">
        <v>2009</v>
      </c>
      <c r="D2" s="38">
        <v>119967823.45</v>
      </c>
      <c r="E2" s="38">
        <v>119221816</v>
      </c>
      <c r="F2" s="38">
        <v>776275.83</v>
      </c>
      <c r="G2" s="38">
        <v>3055137.16</v>
      </c>
      <c r="H2" s="38">
        <v>48953923.509999998</v>
      </c>
      <c r="I2" s="38">
        <v>43527718.799999997</v>
      </c>
      <c r="J2" s="38">
        <v>17103428.949999999</v>
      </c>
      <c r="K2" s="38">
        <v>2362183.1800000002</v>
      </c>
      <c r="L2" s="38">
        <v>938911.57</v>
      </c>
      <c r="M2" s="38">
        <v>896564.93</v>
      </c>
      <c r="N2" s="38">
        <v>905830.43</v>
      </c>
      <c r="O2" s="38">
        <v>699471.61</v>
      </c>
      <c r="P2" s="38">
        <v>254137.67</v>
      </c>
      <c r="Q2" s="46">
        <v>291549.03000000003</v>
      </c>
    </row>
    <row r="3" spans="1:19" s="40" customFormat="1" ht="19.5" customHeight="1">
      <c r="A3" s="39"/>
      <c r="D3" s="41">
        <f>SUBTOTAL(9,D2)</f>
        <v>119967823.45</v>
      </c>
      <c r="E3" s="41">
        <f>SUBTOTAL(9,E2)</f>
        <v>119221816</v>
      </c>
      <c r="F3" s="41">
        <f t="shared" ref="F3:Q3" si="0">SUBTOTAL(9,F2)</f>
        <v>776275.83</v>
      </c>
      <c r="G3" s="41">
        <f t="shared" si="0"/>
        <v>3055137.16</v>
      </c>
      <c r="H3" s="41">
        <f t="shared" si="0"/>
        <v>48953923.509999998</v>
      </c>
      <c r="I3" s="41">
        <f t="shared" si="0"/>
        <v>43527718.799999997</v>
      </c>
      <c r="J3" s="41">
        <f t="shared" si="0"/>
        <v>17103428.949999999</v>
      </c>
      <c r="K3" s="41">
        <f t="shared" si="0"/>
        <v>2362183.1800000002</v>
      </c>
      <c r="L3" s="41">
        <f t="shared" si="0"/>
        <v>938911.57</v>
      </c>
      <c r="M3" s="41">
        <f t="shared" si="0"/>
        <v>896564.93</v>
      </c>
      <c r="N3" s="41">
        <f t="shared" si="0"/>
        <v>905830.43</v>
      </c>
      <c r="O3" s="41">
        <f t="shared" si="0"/>
        <v>699471.61</v>
      </c>
      <c r="P3" s="41">
        <f t="shared" si="0"/>
        <v>254137.67</v>
      </c>
      <c r="Q3" s="47">
        <f t="shared" si="0"/>
        <v>291549.03000000003</v>
      </c>
      <c r="R3" s="62">
        <f>SUM(F3:Q3)</f>
        <v>119765132.67000002</v>
      </c>
      <c r="S3" s="62">
        <f>R3-D3</f>
        <v>-202690.77999998629</v>
      </c>
    </row>
    <row r="4" spans="1:19">
      <c r="A4" s="33" t="s">
        <v>0</v>
      </c>
      <c r="B4" s="36" t="s">
        <v>77</v>
      </c>
      <c r="C4" s="37">
        <v>2009</v>
      </c>
      <c r="D4" s="38">
        <v>4000</v>
      </c>
      <c r="E4" s="38">
        <v>4000</v>
      </c>
      <c r="F4" s="38">
        <v>0</v>
      </c>
      <c r="G4" s="38">
        <v>0</v>
      </c>
      <c r="H4" s="38">
        <v>1000</v>
      </c>
      <c r="I4" s="38">
        <v>500</v>
      </c>
      <c r="J4" s="38">
        <v>0</v>
      </c>
      <c r="K4" s="38">
        <v>1000</v>
      </c>
      <c r="L4" s="38">
        <v>500</v>
      </c>
      <c r="M4" s="38">
        <v>500</v>
      </c>
      <c r="N4" s="38">
        <v>0</v>
      </c>
      <c r="O4" s="38">
        <v>0</v>
      </c>
      <c r="P4" s="38">
        <v>0</v>
      </c>
      <c r="Q4" s="46">
        <v>500</v>
      </c>
    </row>
    <row r="5" spans="1:19">
      <c r="A5" s="34"/>
      <c r="B5" s="36" t="s">
        <v>78</v>
      </c>
      <c r="C5" s="37">
        <v>2009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46">
        <v>0</v>
      </c>
    </row>
    <row r="6" spans="1:19" s="40" customFormat="1" ht="19.5" customHeight="1">
      <c r="A6" s="39"/>
      <c r="D6" s="41">
        <f>SUBTOTAL(9,D4:D5)</f>
        <v>4000</v>
      </c>
      <c r="E6" s="41">
        <f>SUBTOTAL(9,E4:E5)</f>
        <v>4000</v>
      </c>
      <c r="F6" s="41">
        <f t="shared" ref="F6:Q6" si="1">SUBTOTAL(9,F4:F5)</f>
        <v>0</v>
      </c>
      <c r="G6" s="41">
        <f t="shared" si="1"/>
        <v>0</v>
      </c>
      <c r="H6" s="41">
        <f t="shared" si="1"/>
        <v>1000</v>
      </c>
      <c r="I6" s="41">
        <f t="shared" si="1"/>
        <v>500</v>
      </c>
      <c r="J6" s="41">
        <f t="shared" si="1"/>
        <v>0</v>
      </c>
      <c r="K6" s="41">
        <f t="shared" si="1"/>
        <v>1000</v>
      </c>
      <c r="L6" s="41">
        <f t="shared" si="1"/>
        <v>500</v>
      </c>
      <c r="M6" s="41">
        <f t="shared" si="1"/>
        <v>500</v>
      </c>
      <c r="N6" s="41">
        <f t="shared" si="1"/>
        <v>0</v>
      </c>
      <c r="O6" s="41">
        <f t="shared" si="1"/>
        <v>0</v>
      </c>
      <c r="P6" s="41">
        <f t="shared" si="1"/>
        <v>0</v>
      </c>
      <c r="Q6" s="47">
        <f t="shared" si="1"/>
        <v>500</v>
      </c>
      <c r="R6" s="62">
        <f>SUM(F6:Q6)</f>
        <v>4000</v>
      </c>
      <c r="S6" s="62">
        <f>R6-D6</f>
        <v>0</v>
      </c>
    </row>
    <row r="7" spans="1:19">
      <c r="A7" s="33" t="s">
        <v>17</v>
      </c>
      <c r="B7" s="36" t="s">
        <v>79</v>
      </c>
      <c r="C7" s="37">
        <v>2009</v>
      </c>
      <c r="D7" s="38">
        <v>85751.21</v>
      </c>
      <c r="E7" s="38">
        <v>437000</v>
      </c>
      <c r="F7" s="38">
        <v>1000</v>
      </c>
      <c r="G7" s="38">
        <v>200</v>
      </c>
      <c r="H7" s="38">
        <v>2000</v>
      </c>
      <c r="I7" s="38">
        <v>800</v>
      </c>
      <c r="J7" s="38">
        <v>1000</v>
      </c>
      <c r="K7" s="38">
        <v>2582.8200000000002</v>
      </c>
      <c r="L7" s="38">
        <v>600</v>
      </c>
      <c r="M7" s="38">
        <v>600</v>
      </c>
      <c r="N7" s="38">
        <v>1400</v>
      </c>
      <c r="O7" s="38">
        <v>69959.839999999997</v>
      </c>
      <c r="P7" s="38">
        <v>400</v>
      </c>
      <c r="Q7" s="46">
        <v>4808.55</v>
      </c>
    </row>
    <row r="8" spans="1:19">
      <c r="A8" s="35"/>
      <c r="B8" s="36" t="s">
        <v>80</v>
      </c>
      <c r="C8" s="37">
        <v>2009</v>
      </c>
      <c r="D8" s="38">
        <v>0</v>
      </c>
      <c r="E8" s="38">
        <v>54000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46">
        <v>0</v>
      </c>
    </row>
    <row r="9" spans="1:19">
      <c r="A9" s="35"/>
      <c r="B9" s="36" t="s">
        <v>81</v>
      </c>
      <c r="C9" s="37">
        <v>2009</v>
      </c>
      <c r="D9" s="38">
        <v>1842220.69</v>
      </c>
      <c r="E9" s="38">
        <v>1287780</v>
      </c>
      <c r="F9" s="38">
        <v>37660.46</v>
      </c>
      <c r="G9" s="38">
        <v>84001.36</v>
      </c>
      <c r="H9" s="38">
        <v>120176.53</v>
      </c>
      <c r="I9" s="38">
        <v>170816.48</v>
      </c>
      <c r="J9" s="38">
        <v>90969.87</v>
      </c>
      <c r="K9" s="38">
        <v>107333.45</v>
      </c>
      <c r="L9" s="38">
        <v>417079.73</v>
      </c>
      <c r="M9" s="38">
        <v>88010.48</v>
      </c>
      <c r="N9" s="38">
        <v>107506.09</v>
      </c>
      <c r="O9" s="38">
        <v>34409.199999999997</v>
      </c>
      <c r="P9" s="38">
        <v>421667.53</v>
      </c>
      <c r="Q9" s="46">
        <v>157083.35</v>
      </c>
    </row>
    <row r="10" spans="1:19">
      <c r="A10" s="34"/>
      <c r="B10" s="36" t="s">
        <v>82</v>
      </c>
      <c r="C10" s="37">
        <v>2009</v>
      </c>
      <c r="D10" s="38">
        <v>2064982.12</v>
      </c>
      <c r="E10" s="38">
        <v>1900000</v>
      </c>
      <c r="F10" s="38">
        <v>0</v>
      </c>
      <c r="G10" s="38">
        <v>0</v>
      </c>
      <c r="H10" s="38">
        <v>0</v>
      </c>
      <c r="I10" s="38">
        <v>499759.9</v>
      </c>
      <c r="J10" s="38">
        <v>0</v>
      </c>
      <c r="K10" s="38">
        <v>0</v>
      </c>
      <c r="L10" s="38">
        <v>497669.57</v>
      </c>
      <c r="M10" s="38">
        <v>0</v>
      </c>
      <c r="N10" s="38">
        <v>0</v>
      </c>
      <c r="O10" s="38">
        <v>540094.01</v>
      </c>
      <c r="P10" s="38">
        <v>0</v>
      </c>
      <c r="Q10" s="46">
        <v>527458.64</v>
      </c>
    </row>
    <row r="11" spans="1:19" s="40" customFormat="1" ht="19.5" customHeight="1">
      <c r="A11" s="39"/>
      <c r="D11" s="41">
        <f>SUBTOTAL(9,D7:D10)</f>
        <v>3992954.02</v>
      </c>
      <c r="E11" s="41">
        <f>SUBTOTAL(9,E7:E10)</f>
        <v>3678780</v>
      </c>
      <c r="F11" s="41">
        <f t="shared" ref="F11:Q11" si="2">SUBTOTAL(9,F7:F10)</f>
        <v>38660.46</v>
      </c>
      <c r="G11" s="41">
        <f t="shared" si="2"/>
        <v>84201.36</v>
      </c>
      <c r="H11" s="41">
        <f t="shared" si="2"/>
        <v>122176.53</v>
      </c>
      <c r="I11" s="41">
        <f t="shared" si="2"/>
        <v>671376.38</v>
      </c>
      <c r="J11" s="41">
        <f t="shared" si="2"/>
        <v>91969.87</v>
      </c>
      <c r="K11" s="41">
        <f t="shared" si="2"/>
        <v>109916.27</v>
      </c>
      <c r="L11" s="41">
        <f t="shared" si="2"/>
        <v>915349.3</v>
      </c>
      <c r="M11" s="41">
        <f t="shared" si="2"/>
        <v>88610.48</v>
      </c>
      <c r="N11" s="41">
        <f t="shared" si="2"/>
        <v>108906.09</v>
      </c>
      <c r="O11" s="41">
        <f t="shared" si="2"/>
        <v>644463.05000000005</v>
      </c>
      <c r="P11" s="41">
        <f t="shared" si="2"/>
        <v>422067.53</v>
      </c>
      <c r="Q11" s="47">
        <f t="shared" si="2"/>
        <v>689350.54</v>
      </c>
      <c r="R11" s="62">
        <f>SUM(F11:Q11)</f>
        <v>3987047.8600000003</v>
      </c>
      <c r="S11" s="62">
        <f>R11-D11</f>
        <v>-5906.1599999996834</v>
      </c>
    </row>
    <row r="12" spans="1:19">
      <c r="A12" s="33" t="s">
        <v>20</v>
      </c>
      <c r="B12" s="36" t="s">
        <v>83</v>
      </c>
      <c r="C12" s="37">
        <v>2009</v>
      </c>
      <c r="D12" s="38">
        <v>5299379.12</v>
      </c>
      <c r="E12" s="38">
        <v>6058100</v>
      </c>
      <c r="F12" s="38">
        <v>271316.01</v>
      </c>
      <c r="G12" s="38">
        <v>388756</v>
      </c>
      <c r="H12" s="38">
        <v>310039.3</v>
      </c>
      <c r="I12" s="38">
        <v>1098855.21</v>
      </c>
      <c r="J12" s="38">
        <v>258610.43</v>
      </c>
      <c r="K12" s="38">
        <v>510416.87</v>
      </c>
      <c r="L12" s="38">
        <v>441376.39</v>
      </c>
      <c r="M12" s="38">
        <v>208841.35</v>
      </c>
      <c r="N12" s="38">
        <v>359247.98</v>
      </c>
      <c r="O12" s="38">
        <v>610726.37</v>
      </c>
      <c r="P12" s="38">
        <v>310383.82</v>
      </c>
      <c r="Q12" s="46">
        <v>332090.39</v>
      </c>
    </row>
    <row r="13" spans="1:19">
      <c r="A13" s="35"/>
      <c r="B13" s="36" t="s">
        <v>84</v>
      </c>
      <c r="C13" s="37">
        <v>2009</v>
      </c>
      <c r="D13" s="38">
        <v>4446059.3499999996</v>
      </c>
      <c r="E13" s="38">
        <v>3980050</v>
      </c>
      <c r="F13" s="38">
        <v>332987.19</v>
      </c>
      <c r="G13" s="38">
        <v>287809.31</v>
      </c>
      <c r="H13" s="38">
        <v>325777.01</v>
      </c>
      <c r="I13" s="38">
        <v>423693.03</v>
      </c>
      <c r="J13" s="38">
        <v>457356.09</v>
      </c>
      <c r="K13" s="38">
        <v>324834.39</v>
      </c>
      <c r="L13" s="38">
        <v>380955.73</v>
      </c>
      <c r="M13" s="38">
        <v>346004.76</v>
      </c>
      <c r="N13" s="38">
        <v>346786.98</v>
      </c>
      <c r="O13" s="38">
        <v>376751.86</v>
      </c>
      <c r="P13" s="38">
        <v>322659.05</v>
      </c>
      <c r="Q13" s="46">
        <v>478841.53</v>
      </c>
    </row>
    <row r="14" spans="1:19">
      <c r="A14" s="35"/>
      <c r="B14" s="36" t="s">
        <v>85</v>
      </c>
      <c r="C14" s="37">
        <v>2009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46">
        <v>0</v>
      </c>
    </row>
    <row r="15" spans="1:19">
      <c r="A15" s="35"/>
      <c r="B15" s="36" t="s">
        <v>86</v>
      </c>
      <c r="C15" s="37">
        <v>2009</v>
      </c>
      <c r="D15" s="38">
        <v>5818750.0300000003</v>
      </c>
      <c r="E15" s="38">
        <v>8732850</v>
      </c>
      <c r="F15" s="38">
        <v>348548.02</v>
      </c>
      <c r="G15" s="38">
        <v>401599.56</v>
      </c>
      <c r="H15" s="38">
        <v>375696.6</v>
      </c>
      <c r="I15" s="38">
        <v>430494.7</v>
      </c>
      <c r="J15" s="38">
        <v>540363.74</v>
      </c>
      <c r="K15" s="38">
        <v>593463.81999999995</v>
      </c>
      <c r="L15" s="38">
        <v>697360.83</v>
      </c>
      <c r="M15" s="38">
        <v>181841.94</v>
      </c>
      <c r="N15" s="38">
        <v>573265.55000000005</v>
      </c>
      <c r="O15" s="38">
        <v>640358.9</v>
      </c>
      <c r="P15" s="38">
        <v>478127.2</v>
      </c>
      <c r="Q15" s="46">
        <v>520485.02</v>
      </c>
    </row>
    <row r="16" spans="1:19">
      <c r="A16" s="35"/>
      <c r="B16" s="36" t="s">
        <v>87</v>
      </c>
      <c r="C16" s="37">
        <v>2009</v>
      </c>
      <c r="D16" s="38">
        <v>26770</v>
      </c>
      <c r="E16" s="38">
        <v>20500</v>
      </c>
      <c r="F16" s="38">
        <v>2300</v>
      </c>
      <c r="G16" s="38">
        <v>1720</v>
      </c>
      <c r="H16" s="38">
        <v>1620</v>
      </c>
      <c r="I16" s="38">
        <v>1790</v>
      </c>
      <c r="J16" s="38">
        <v>2000</v>
      </c>
      <c r="K16" s="38">
        <v>1730</v>
      </c>
      <c r="L16" s="38">
        <v>2530</v>
      </c>
      <c r="M16" s="38">
        <v>2110</v>
      </c>
      <c r="N16" s="38">
        <v>2070</v>
      </c>
      <c r="O16" s="38">
        <v>2320</v>
      </c>
      <c r="P16" s="38">
        <v>3440</v>
      </c>
      <c r="Q16" s="46">
        <v>3140</v>
      </c>
    </row>
    <row r="17" spans="1:19">
      <c r="A17" s="34"/>
      <c r="B17" s="36" t="s">
        <v>88</v>
      </c>
      <c r="C17" s="37">
        <v>2009</v>
      </c>
      <c r="D17" s="38">
        <v>259717.61</v>
      </c>
      <c r="E17" s="38">
        <v>352000</v>
      </c>
      <c r="F17" s="38">
        <v>13753.05</v>
      </c>
      <c r="G17" s="38">
        <v>32099.9</v>
      </c>
      <c r="H17" s="38">
        <v>10683.18</v>
      </c>
      <c r="I17" s="38">
        <v>12823.75</v>
      </c>
      <c r="J17" s="38">
        <v>36804.32</v>
      </c>
      <c r="K17" s="38">
        <v>22760.48</v>
      </c>
      <c r="L17" s="38">
        <v>16220.36</v>
      </c>
      <c r="M17" s="38">
        <v>16028.4</v>
      </c>
      <c r="N17" s="38">
        <v>19286.86</v>
      </c>
      <c r="O17" s="38">
        <v>16926.82</v>
      </c>
      <c r="P17" s="38">
        <v>26995.91</v>
      </c>
      <c r="Q17" s="46">
        <v>13156.44</v>
      </c>
    </row>
    <row r="18" spans="1:19" s="40" customFormat="1" ht="19.5" customHeight="1">
      <c r="A18" s="39"/>
      <c r="D18" s="41">
        <f>SUBTOTAL(9,D12:D17)</f>
        <v>15850676.109999999</v>
      </c>
      <c r="E18" s="41">
        <f>SUBTOTAL(9,E12:E17)</f>
        <v>19143500</v>
      </c>
      <c r="F18" s="41">
        <f t="shared" ref="F18:Q18" si="3">SUBTOTAL(9,F12:F17)</f>
        <v>968904.27</v>
      </c>
      <c r="G18" s="41">
        <f t="shared" si="3"/>
        <v>1111984.77</v>
      </c>
      <c r="H18" s="41">
        <f t="shared" si="3"/>
        <v>1023816.0900000001</v>
      </c>
      <c r="I18" s="41">
        <f t="shared" si="3"/>
        <v>1967656.69</v>
      </c>
      <c r="J18" s="41">
        <f t="shared" si="3"/>
        <v>1295134.58</v>
      </c>
      <c r="K18" s="41">
        <f t="shared" si="3"/>
        <v>1453205.56</v>
      </c>
      <c r="L18" s="41">
        <f t="shared" si="3"/>
        <v>1538443.31</v>
      </c>
      <c r="M18" s="41">
        <f t="shared" si="3"/>
        <v>754826.45000000007</v>
      </c>
      <c r="N18" s="41">
        <f t="shared" si="3"/>
        <v>1300657.3700000001</v>
      </c>
      <c r="O18" s="41">
        <f t="shared" si="3"/>
        <v>1647083.95</v>
      </c>
      <c r="P18" s="41">
        <f t="shared" si="3"/>
        <v>1141605.98</v>
      </c>
      <c r="Q18" s="47">
        <f t="shared" si="3"/>
        <v>1347713.38</v>
      </c>
      <c r="R18" s="62">
        <f>SUM(F18:Q18)</f>
        <v>15551032.399999999</v>
      </c>
      <c r="S18" s="62">
        <f>R18-D18</f>
        <v>-299643.71000000089</v>
      </c>
    </row>
    <row r="19" spans="1:19">
      <c r="A19" s="31" t="s">
        <v>22</v>
      </c>
      <c r="B19" s="36" t="s">
        <v>89</v>
      </c>
      <c r="C19" s="37">
        <v>2009</v>
      </c>
      <c r="D19" s="38">
        <v>2270389.13</v>
      </c>
      <c r="E19" s="38">
        <v>2771000</v>
      </c>
      <c r="F19" s="38">
        <v>142766.14000000001</v>
      </c>
      <c r="G19" s="38">
        <v>176467</v>
      </c>
      <c r="H19" s="38">
        <v>194691.65</v>
      </c>
      <c r="I19" s="38">
        <v>176784.81</v>
      </c>
      <c r="J19" s="38">
        <v>198810.01</v>
      </c>
      <c r="K19" s="38">
        <v>182188.87</v>
      </c>
      <c r="L19" s="38">
        <v>200942.07</v>
      </c>
      <c r="M19" s="38">
        <v>233162.13</v>
      </c>
      <c r="N19" s="38">
        <v>205820.6</v>
      </c>
      <c r="O19" s="38">
        <v>135868.38</v>
      </c>
      <c r="P19" s="38">
        <v>188071.63</v>
      </c>
      <c r="Q19" s="46">
        <v>195848.2</v>
      </c>
    </row>
    <row r="20" spans="1:19" s="40" customFormat="1" ht="19.5" customHeight="1">
      <c r="A20" s="39"/>
      <c r="D20" s="41">
        <f>SUBTOTAL(9,D19)</f>
        <v>2270389.13</v>
      </c>
      <c r="E20" s="41">
        <f>SUBTOTAL(9,E19)</f>
        <v>2771000</v>
      </c>
      <c r="F20" s="41">
        <f t="shared" ref="F20:Q20" si="4">SUBTOTAL(9,F19)</f>
        <v>142766.14000000001</v>
      </c>
      <c r="G20" s="41">
        <f t="shared" si="4"/>
        <v>176467</v>
      </c>
      <c r="H20" s="41">
        <f t="shared" si="4"/>
        <v>194691.65</v>
      </c>
      <c r="I20" s="41">
        <f t="shared" si="4"/>
        <v>176784.81</v>
      </c>
      <c r="J20" s="41">
        <f t="shared" si="4"/>
        <v>198810.01</v>
      </c>
      <c r="K20" s="41">
        <f t="shared" si="4"/>
        <v>182188.87</v>
      </c>
      <c r="L20" s="41">
        <f t="shared" si="4"/>
        <v>200942.07</v>
      </c>
      <c r="M20" s="41">
        <f t="shared" si="4"/>
        <v>233162.13</v>
      </c>
      <c r="N20" s="41">
        <f t="shared" si="4"/>
        <v>205820.6</v>
      </c>
      <c r="O20" s="41">
        <f t="shared" si="4"/>
        <v>135868.38</v>
      </c>
      <c r="P20" s="41">
        <f t="shared" si="4"/>
        <v>188071.63</v>
      </c>
      <c r="Q20" s="47">
        <f t="shared" si="4"/>
        <v>195848.2</v>
      </c>
      <c r="R20" s="62">
        <f>SUM(F20:Q20)</f>
        <v>2231421.4900000002</v>
      </c>
      <c r="S20" s="62">
        <f>R20-D20</f>
        <v>-38967.639999999665</v>
      </c>
    </row>
    <row r="21" spans="1:19">
      <c r="A21" s="33" t="s">
        <v>18</v>
      </c>
      <c r="B21" s="36" t="s">
        <v>90</v>
      </c>
      <c r="C21" s="37">
        <v>2009</v>
      </c>
      <c r="D21" s="38">
        <v>3019603.96</v>
      </c>
      <c r="E21" s="38">
        <v>5150000</v>
      </c>
      <c r="F21" s="38">
        <v>-198390.25</v>
      </c>
      <c r="G21" s="38">
        <v>145922.57</v>
      </c>
      <c r="H21" s="38">
        <v>850593.03</v>
      </c>
      <c r="I21" s="38">
        <v>301913.08</v>
      </c>
      <c r="J21" s="38">
        <v>164249.42000000001</v>
      </c>
      <c r="K21" s="38">
        <v>375657.22</v>
      </c>
      <c r="L21" s="38">
        <v>236724.55</v>
      </c>
      <c r="M21" s="38">
        <v>185384.87</v>
      </c>
      <c r="N21" s="38">
        <v>424172.26</v>
      </c>
      <c r="O21" s="38">
        <v>130847</v>
      </c>
      <c r="P21" s="38">
        <v>111806.64</v>
      </c>
      <c r="Q21" s="46">
        <v>289040.25</v>
      </c>
    </row>
    <row r="22" spans="1:19">
      <c r="A22" s="34"/>
      <c r="B22" s="36" t="s">
        <v>91</v>
      </c>
      <c r="C22" s="37">
        <v>2009</v>
      </c>
      <c r="D22" s="38">
        <v>19652</v>
      </c>
      <c r="E22" s="38">
        <v>18400</v>
      </c>
      <c r="F22" s="38">
        <v>1433.5</v>
      </c>
      <c r="G22" s="38">
        <v>2633.5</v>
      </c>
      <c r="H22" s="38">
        <v>1433.5</v>
      </c>
      <c r="I22" s="38">
        <v>2633.5</v>
      </c>
      <c r="J22" s="38">
        <v>1433.5</v>
      </c>
      <c r="K22" s="38">
        <v>1433.5</v>
      </c>
      <c r="L22" s="38">
        <v>1433.5</v>
      </c>
      <c r="M22" s="38">
        <v>1433.5</v>
      </c>
      <c r="N22" s="38">
        <v>1633.5</v>
      </c>
      <c r="O22" s="38">
        <v>1433.5</v>
      </c>
      <c r="P22" s="38">
        <v>1483.5</v>
      </c>
      <c r="Q22" s="46">
        <v>1233.5</v>
      </c>
    </row>
    <row r="23" spans="1:19" s="40" customFormat="1" ht="19.5" customHeight="1">
      <c r="A23" s="39"/>
      <c r="D23" s="41">
        <f>SUBTOTAL(9,D21:D22)</f>
        <v>3039255.96</v>
      </c>
      <c r="E23" s="41">
        <f>SUBTOTAL(9,E21:E22)</f>
        <v>5168400</v>
      </c>
      <c r="F23" s="41">
        <f t="shared" ref="F23:Q23" si="5">SUBTOTAL(9,F21:F22)</f>
        <v>-196956.75</v>
      </c>
      <c r="G23" s="41">
        <f t="shared" si="5"/>
        <v>148556.07</v>
      </c>
      <c r="H23" s="41">
        <f t="shared" si="5"/>
        <v>852026.53</v>
      </c>
      <c r="I23" s="41">
        <f t="shared" si="5"/>
        <v>304546.58</v>
      </c>
      <c r="J23" s="41">
        <f t="shared" si="5"/>
        <v>165682.92000000001</v>
      </c>
      <c r="K23" s="41">
        <f t="shared" si="5"/>
        <v>377090.72</v>
      </c>
      <c r="L23" s="41">
        <f t="shared" si="5"/>
        <v>238158.05</v>
      </c>
      <c r="M23" s="41">
        <f t="shared" si="5"/>
        <v>186818.37</v>
      </c>
      <c r="N23" s="41">
        <f t="shared" si="5"/>
        <v>425805.76</v>
      </c>
      <c r="O23" s="41">
        <f t="shared" si="5"/>
        <v>132280.5</v>
      </c>
      <c r="P23" s="41">
        <f t="shared" si="5"/>
        <v>113290.14</v>
      </c>
      <c r="Q23" s="47">
        <f t="shared" si="5"/>
        <v>290273.75</v>
      </c>
      <c r="R23" s="62">
        <f>SUM(F23:Q23)</f>
        <v>3037572.64</v>
      </c>
      <c r="S23" s="62">
        <f>R23-D23</f>
        <v>-1683.3199999998324</v>
      </c>
    </row>
    <row r="24" spans="1:19">
      <c r="A24" s="31" t="s">
        <v>21</v>
      </c>
      <c r="B24" s="36" t="s">
        <v>92</v>
      </c>
      <c r="C24" s="37">
        <v>2009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46">
        <v>0</v>
      </c>
    </row>
    <row r="25" spans="1:19" s="40" customFormat="1" ht="19.5" customHeight="1">
      <c r="A25" s="39"/>
      <c r="D25" s="41">
        <f>SUBTOTAL(9,D24)</f>
        <v>0</v>
      </c>
      <c r="E25" s="41">
        <f>SUBTOTAL(9,E24)</f>
        <v>0</v>
      </c>
      <c r="F25" s="41">
        <f t="shared" ref="F25:Q25" si="6">SUBTOTAL(9,F24)</f>
        <v>0</v>
      </c>
      <c r="G25" s="41">
        <f t="shared" si="6"/>
        <v>0</v>
      </c>
      <c r="H25" s="41">
        <f t="shared" si="6"/>
        <v>0</v>
      </c>
      <c r="I25" s="41">
        <f t="shared" si="6"/>
        <v>0</v>
      </c>
      <c r="J25" s="41">
        <f t="shared" si="6"/>
        <v>0</v>
      </c>
      <c r="K25" s="41">
        <f t="shared" si="6"/>
        <v>0</v>
      </c>
      <c r="L25" s="41">
        <f t="shared" si="6"/>
        <v>0</v>
      </c>
      <c r="M25" s="41">
        <f t="shared" si="6"/>
        <v>0</v>
      </c>
      <c r="N25" s="41">
        <f t="shared" si="6"/>
        <v>0</v>
      </c>
      <c r="O25" s="41">
        <f t="shared" si="6"/>
        <v>0</v>
      </c>
      <c r="P25" s="41">
        <f t="shared" si="6"/>
        <v>0</v>
      </c>
      <c r="Q25" s="47">
        <f t="shared" si="6"/>
        <v>0</v>
      </c>
      <c r="R25" s="62">
        <f>SUM(F25:Q25)</f>
        <v>0</v>
      </c>
      <c r="S25" s="62">
        <f>R25-D25</f>
        <v>0</v>
      </c>
    </row>
    <row r="26" spans="1:19">
      <c r="A26" s="33" t="s">
        <v>19</v>
      </c>
      <c r="B26" s="36" t="s">
        <v>93</v>
      </c>
      <c r="C26" s="37">
        <v>2009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46">
        <v>0</v>
      </c>
    </row>
    <row r="27" spans="1:19">
      <c r="A27" s="35"/>
      <c r="B27" s="36" t="s">
        <v>94</v>
      </c>
      <c r="C27" s="37">
        <v>2009</v>
      </c>
      <c r="D27" s="38">
        <v>757825.94</v>
      </c>
      <c r="E27" s="38">
        <v>424810</v>
      </c>
      <c r="F27" s="38">
        <v>10198.950000000001</v>
      </c>
      <c r="G27" s="38">
        <v>135727.4</v>
      </c>
      <c r="H27" s="38">
        <v>42972.24</v>
      </c>
      <c r="I27" s="38">
        <v>41479.26</v>
      </c>
      <c r="J27" s="38">
        <v>46847.35</v>
      </c>
      <c r="K27" s="38">
        <v>41980.59</v>
      </c>
      <c r="L27" s="38">
        <v>36559.360000000001</v>
      </c>
      <c r="M27" s="38">
        <v>29537.75</v>
      </c>
      <c r="N27" s="38">
        <v>31461.23</v>
      </c>
      <c r="O27" s="38">
        <v>178732.01</v>
      </c>
      <c r="P27" s="38">
        <v>60141.09</v>
      </c>
      <c r="Q27" s="46">
        <v>96138.62</v>
      </c>
    </row>
    <row r="28" spans="1:19">
      <c r="A28" s="34"/>
      <c r="B28" s="36" t="s">
        <v>95</v>
      </c>
      <c r="C28" s="37">
        <v>2009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46">
        <v>0</v>
      </c>
    </row>
    <row r="29" spans="1:19" s="40" customFormat="1" ht="19.5" customHeight="1">
      <c r="A29" s="39"/>
      <c r="D29" s="41">
        <f>SUBTOTAL(9,D26:D28)</f>
        <v>757825.94</v>
      </c>
      <c r="E29" s="41">
        <f>SUBTOTAL(9,E26:E28)</f>
        <v>424810</v>
      </c>
      <c r="F29" s="41">
        <f t="shared" ref="F29:Q29" si="7">SUBTOTAL(9,F26:F28)</f>
        <v>10198.950000000001</v>
      </c>
      <c r="G29" s="41">
        <f t="shared" si="7"/>
        <v>135727.4</v>
      </c>
      <c r="H29" s="41">
        <f t="shared" si="7"/>
        <v>42972.24</v>
      </c>
      <c r="I29" s="41">
        <f t="shared" si="7"/>
        <v>41479.26</v>
      </c>
      <c r="J29" s="41">
        <f t="shared" si="7"/>
        <v>46847.35</v>
      </c>
      <c r="K29" s="41">
        <f t="shared" si="7"/>
        <v>41980.59</v>
      </c>
      <c r="L29" s="41">
        <f t="shared" si="7"/>
        <v>36559.360000000001</v>
      </c>
      <c r="M29" s="41">
        <f t="shared" si="7"/>
        <v>29537.75</v>
      </c>
      <c r="N29" s="41">
        <f t="shared" si="7"/>
        <v>31461.23</v>
      </c>
      <c r="O29" s="41">
        <f t="shared" si="7"/>
        <v>178732.01</v>
      </c>
      <c r="P29" s="41">
        <f t="shared" si="7"/>
        <v>60141.09</v>
      </c>
      <c r="Q29" s="47">
        <f t="shared" si="7"/>
        <v>96138.62</v>
      </c>
      <c r="R29" s="62">
        <f>SUM(F29:Q29)</f>
        <v>751775.85</v>
      </c>
      <c r="S29" s="62">
        <f>R29-D29</f>
        <v>-6050.0899999999674</v>
      </c>
    </row>
    <row r="30" spans="1:19">
      <c r="A30" s="33" t="s">
        <v>6</v>
      </c>
      <c r="B30" s="36" t="s">
        <v>96</v>
      </c>
      <c r="C30" s="37">
        <v>2009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46">
        <v>0</v>
      </c>
    </row>
    <row r="31" spans="1:19">
      <c r="A31" s="35"/>
      <c r="B31" s="48" t="s">
        <v>97</v>
      </c>
      <c r="C31" s="49">
        <v>2009</v>
      </c>
      <c r="D31" s="50">
        <v>79532.61</v>
      </c>
      <c r="E31" s="50">
        <v>75000</v>
      </c>
      <c r="F31" s="50">
        <v>0</v>
      </c>
      <c r="G31" s="50">
        <v>0</v>
      </c>
      <c r="H31" s="50">
        <v>0</v>
      </c>
      <c r="I31" s="50">
        <v>0</v>
      </c>
      <c r="J31" s="50">
        <v>22387.599999999999</v>
      </c>
      <c r="K31" s="50">
        <v>0</v>
      </c>
      <c r="L31" s="50">
        <v>0</v>
      </c>
      <c r="M31" s="50">
        <v>0</v>
      </c>
      <c r="N31" s="50">
        <v>11300.15</v>
      </c>
      <c r="O31" s="50">
        <v>0</v>
      </c>
      <c r="P31" s="50">
        <v>0</v>
      </c>
      <c r="Q31" s="51">
        <v>45844.86</v>
      </c>
    </row>
    <row r="32" spans="1:19" s="40" customFormat="1" ht="19.5" customHeight="1">
      <c r="A32" s="52"/>
      <c r="B32" s="53"/>
      <c r="C32" s="53"/>
      <c r="D32" s="54">
        <f>SUBTOTAL(9,D30:D31)</f>
        <v>79532.61</v>
      </c>
      <c r="E32" s="54">
        <f>SUBTOTAL(9,E30:E31)</f>
        <v>75000</v>
      </c>
      <c r="F32" s="54">
        <f t="shared" ref="F32:Q32" si="8">SUBTOTAL(9,F30:F31)</f>
        <v>0</v>
      </c>
      <c r="G32" s="54">
        <f t="shared" si="8"/>
        <v>0</v>
      </c>
      <c r="H32" s="54">
        <f t="shared" si="8"/>
        <v>0</v>
      </c>
      <c r="I32" s="54">
        <f t="shared" si="8"/>
        <v>0</v>
      </c>
      <c r="J32" s="54">
        <f t="shared" si="8"/>
        <v>22387.599999999999</v>
      </c>
      <c r="K32" s="54">
        <f t="shared" si="8"/>
        <v>0</v>
      </c>
      <c r="L32" s="54">
        <f t="shared" si="8"/>
        <v>0</v>
      </c>
      <c r="M32" s="54">
        <f t="shared" si="8"/>
        <v>0</v>
      </c>
      <c r="N32" s="54">
        <f t="shared" si="8"/>
        <v>11300.15</v>
      </c>
      <c r="O32" s="54">
        <f t="shared" si="8"/>
        <v>0</v>
      </c>
      <c r="P32" s="54">
        <f t="shared" si="8"/>
        <v>0</v>
      </c>
      <c r="Q32" s="55">
        <f t="shared" si="8"/>
        <v>45844.86</v>
      </c>
      <c r="R32" s="62">
        <f>SUM(F32:Q32)</f>
        <v>79532.61</v>
      </c>
      <c r="S32" s="62">
        <f>R32-D32</f>
        <v>0</v>
      </c>
    </row>
    <row r="33" spans="1:19" s="42" customFormat="1" ht="19.5" customHeight="1">
      <c r="A33" s="56"/>
      <c r="B33" s="57"/>
      <c r="C33" s="58"/>
      <c r="D33" s="59">
        <f>SUBTOTAL(9,D2:D32)</f>
        <v>145962457.22000003</v>
      </c>
      <c r="E33" s="59">
        <f>SUBTOTAL(9,E2:E32)</f>
        <v>150487306</v>
      </c>
      <c r="F33" s="59">
        <f t="shared" ref="F33:Q33" si="9">SUBTOTAL(9,F2:F32)</f>
        <v>1739848.8999999997</v>
      </c>
      <c r="G33" s="59">
        <f t="shared" si="9"/>
        <v>4712073.7600000007</v>
      </c>
      <c r="H33" s="59">
        <f t="shared" si="9"/>
        <v>51190606.549999997</v>
      </c>
      <c r="I33" s="59">
        <f t="shared" si="9"/>
        <v>46690062.519999996</v>
      </c>
      <c r="J33" s="59">
        <f t="shared" si="9"/>
        <v>18924261.280000005</v>
      </c>
      <c r="K33" s="59">
        <f t="shared" si="9"/>
        <v>4527565.1900000004</v>
      </c>
      <c r="L33" s="59">
        <f t="shared" si="9"/>
        <v>3868863.6599999992</v>
      </c>
      <c r="M33" s="59">
        <f t="shared" si="9"/>
        <v>2190020.11</v>
      </c>
      <c r="N33" s="59">
        <f t="shared" si="9"/>
        <v>2989781.63</v>
      </c>
      <c r="O33" s="59">
        <f t="shared" si="9"/>
        <v>3437899.4999999991</v>
      </c>
      <c r="P33" s="59">
        <f t="shared" si="9"/>
        <v>2179314.04</v>
      </c>
      <c r="Q33" s="60">
        <f t="shared" si="9"/>
        <v>2957218.38</v>
      </c>
      <c r="R33" s="63">
        <f>SUM(F33:Q33)</f>
        <v>145407515.51999998</v>
      </c>
      <c r="S33" s="63">
        <f>R33-D33</f>
        <v>-554941.70000004768</v>
      </c>
    </row>
    <row r="35" spans="1:19">
      <c r="F35" s="32">
        <f>F33+G33+H33</f>
        <v>57642529.209999993</v>
      </c>
    </row>
  </sheetData>
  <phoneticPr fontId="10" type="noConversion"/>
  <pageMargins left="0.248" right="0.22" top="1.07" bottom="0.76400000000000001" header="0.248" footer="0.22"/>
  <pageSetup orientation="landscape" r:id="rId1"/>
  <headerFooter alignWithMargins="0">
    <oddHeader>&amp;L&amp;"Arial"&amp;10Detail Filter:  Fiscal Year  =  2009  and  Fund  =  001 &amp;C&amp;B&amp;"Times New Roman"&amp;14Collin County Actual Revenues and Original Revenue Budgets (Monthly Detail)&amp;R&amp;"Arial"&amp;8Date: 1/4/2010</oddHeader>
    <oddFooter>&amp;L&amp;C&amp;"Arial"&amp;10Page &amp;P&amp;R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workbookViewId="0"/>
  </sheetViews>
  <sheetFormatPr defaultColWidth="8" defaultRowHeight="12.75"/>
  <cols>
    <col min="1" max="1" width="7.25" style="120" bestFit="1" customWidth="1"/>
    <col min="2" max="2" width="23.375" style="120" bestFit="1" customWidth="1"/>
    <col min="3" max="5" width="13.5" style="120" bestFit="1" customWidth="1"/>
    <col min="6" max="7" width="11.625" style="120" bestFit="1" customWidth="1"/>
    <col min="8" max="9" width="12.5" style="120" bestFit="1" customWidth="1"/>
    <col min="10" max="10" width="11.625" style="120" bestFit="1" customWidth="1"/>
    <col min="11" max="11" width="12.5" style="120" bestFit="1" customWidth="1"/>
    <col min="12" max="14" width="11.625" style="120" bestFit="1" customWidth="1"/>
    <col min="15" max="15" width="12.5" style="120" bestFit="1" customWidth="1"/>
    <col min="16" max="16" width="12.125" style="120" bestFit="1" customWidth="1"/>
    <col min="17" max="17" width="12.5" style="120" bestFit="1" customWidth="1"/>
    <col min="18" max="18" width="13.5" style="120" bestFit="1" customWidth="1"/>
    <col min="19" max="19" width="11.625" style="120" bestFit="1" customWidth="1"/>
    <col min="20" max="16384" width="8" style="120"/>
  </cols>
  <sheetData>
    <row r="1" spans="1:19" ht="38.25">
      <c r="A1" s="104" t="s">
        <v>103</v>
      </c>
      <c r="B1" s="104" t="s">
        <v>60</v>
      </c>
      <c r="C1" s="104" t="s">
        <v>104</v>
      </c>
      <c r="D1" s="104" t="s">
        <v>105</v>
      </c>
      <c r="E1" s="104" t="s">
        <v>106</v>
      </c>
      <c r="F1" s="104" t="s">
        <v>64</v>
      </c>
      <c r="G1" s="104" t="s">
        <v>65</v>
      </c>
      <c r="H1" s="104" t="s">
        <v>66</v>
      </c>
      <c r="I1" s="104" t="s">
        <v>67</v>
      </c>
      <c r="J1" s="104" t="s">
        <v>68</v>
      </c>
      <c r="K1" s="104" t="s">
        <v>69</v>
      </c>
      <c r="L1" s="104" t="s">
        <v>70</v>
      </c>
      <c r="M1" s="104" t="s">
        <v>71</v>
      </c>
      <c r="N1" s="104" t="s">
        <v>72</v>
      </c>
      <c r="O1" s="104" t="s">
        <v>73</v>
      </c>
      <c r="P1" s="104" t="s">
        <v>74</v>
      </c>
      <c r="Q1" s="104" t="s">
        <v>75</v>
      </c>
    </row>
    <row r="2" spans="1:19">
      <c r="A2" s="121">
        <v>80</v>
      </c>
      <c r="B2" s="122" t="s">
        <v>11</v>
      </c>
      <c r="C2" s="131">
        <v>307595</v>
      </c>
      <c r="D2" s="131">
        <v>307595</v>
      </c>
      <c r="E2" s="131">
        <v>277988.37</v>
      </c>
      <c r="F2" s="131">
        <v>12589.94</v>
      </c>
      <c r="G2" s="131">
        <v>18663.990000000002</v>
      </c>
      <c r="H2" s="131">
        <v>19856.96</v>
      </c>
      <c r="I2" s="123">
        <v>26463.55</v>
      </c>
      <c r="J2" s="131">
        <v>14947.16</v>
      </c>
      <c r="K2" s="123">
        <v>36062.83</v>
      </c>
      <c r="L2" s="131">
        <v>18484.84</v>
      </c>
      <c r="M2" s="131">
        <v>19638.87</v>
      </c>
      <c r="N2" s="131">
        <v>21760.94</v>
      </c>
      <c r="O2" s="131">
        <v>28669.54</v>
      </c>
      <c r="P2" s="131">
        <v>21289.14</v>
      </c>
      <c r="Q2" s="132">
        <v>39399.629999999997</v>
      </c>
      <c r="R2" s="133">
        <f>SUM(F2:Q2)</f>
        <v>277827.39</v>
      </c>
      <c r="S2" s="133">
        <f>E2-R2</f>
        <v>160.97999999998137</v>
      </c>
    </row>
    <row r="3" spans="1:19">
      <c r="A3" s="121">
        <v>76</v>
      </c>
      <c r="B3" s="122" t="s">
        <v>8</v>
      </c>
      <c r="C3" s="131">
        <v>510370</v>
      </c>
      <c r="D3" s="131">
        <v>575162</v>
      </c>
      <c r="E3" s="131">
        <v>497660.56</v>
      </c>
      <c r="F3" s="131">
        <v>89.42</v>
      </c>
      <c r="G3" s="131">
        <v>94854.53</v>
      </c>
      <c r="H3" s="131">
        <v>125668.61</v>
      </c>
      <c r="I3" s="123">
        <v>1317.34</v>
      </c>
      <c r="J3" s="131">
        <v>2411.0300000000002</v>
      </c>
      <c r="K3" s="123">
        <v>112105.98</v>
      </c>
      <c r="L3" s="131">
        <v>535.51</v>
      </c>
      <c r="M3" s="131">
        <v>12292.72</v>
      </c>
      <c r="N3" s="131">
        <v>110906.43</v>
      </c>
      <c r="O3" s="131">
        <v>22740.95</v>
      </c>
      <c r="P3" s="131">
        <v>9041.65</v>
      </c>
      <c r="Q3" s="132">
        <v>4230.4399999999996</v>
      </c>
      <c r="R3" s="133">
        <f t="shared" ref="R3:R14" si="0">SUM(F3:Q3)</f>
        <v>496194.61</v>
      </c>
      <c r="S3" s="133">
        <f t="shared" ref="S3:S14" si="1">E3-R3</f>
        <v>1465.9500000000116</v>
      </c>
    </row>
    <row r="4" spans="1:19">
      <c r="A4" s="121">
        <v>85</v>
      </c>
      <c r="B4" s="122" t="s">
        <v>107</v>
      </c>
      <c r="C4" s="131">
        <v>0</v>
      </c>
      <c r="D4" s="131">
        <v>4509964</v>
      </c>
      <c r="E4" s="131">
        <v>4509962.99</v>
      </c>
      <c r="F4" s="131">
        <v>0</v>
      </c>
      <c r="G4" s="131">
        <v>0</v>
      </c>
      <c r="H4" s="131">
        <v>0</v>
      </c>
      <c r="I4" s="123">
        <v>0</v>
      </c>
      <c r="J4" s="131">
        <v>0</v>
      </c>
      <c r="K4" s="123">
        <v>0</v>
      </c>
      <c r="L4" s="131">
        <v>0</v>
      </c>
      <c r="M4" s="131">
        <v>0</v>
      </c>
      <c r="N4" s="131">
        <v>0</v>
      </c>
      <c r="O4" s="131">
        <v>5778820.7199999997</v>
      </c>
      <c r="P4" s="131">
        <v>-1268857.73</v>
      </c>
      <c r="Q4" s="132">
        <v>0</v>
      </c>
      <c r="R4" s="133">
        <f t="shared" si="0"/>
        <v>4509962.99</v>
      </c>
      <c r="S4" s="133">
        <f t="shared" si="1"/>
        <v>0</v>
      </c>
    </row>
    <row r="5" spans="1:19">
      <c r="A5" s="121">
        <v>60</v>
      </c>
      <c r="B5" s="122" t="s">
        <v>9</v>
      </c>
      <c r="C5" s="131">
        <v>3360551</v>
      </c>
      <c r="D5" s="131">
        <v>3258569</v>
      </c>
      <c r="E5" s="131">
        <v>2707377.49</v>
      </c>
      <c r="F5" s="131">
        <v>95635.25</v>
      </c>
      <c r="G5" s="131">
        <v>128779.75</v>
      </c>
      <c r="H5" s="131">
        <v>188894.75</v>
      </c>
      <c r="I5" s="123">
        <v>154360.07999999999</v>
      </c>
      <c r="J5" s="131">
        <v>158760.44</v>
      </c>
      <c r="K5" s="123">
        <v>791009.16</v>
      </c>
      <c r="L5" s="131">
        <v>213324.65</v>
      </c>
      <c r="M5" s="131">
        <v>217389.12</v>
      </c>
      <c r="N5" s="131">
        <v>181386.39</v>
      </c>
      <c r="O5" s="131">
        <v>152795.17000000001</v>
      </c>
      <c r="P5" s="131">
        <v>172144.49</v>
      </c>
      <c r="Q5" s="132">
        <v>231101.44</v>
      </c>
      <c r="R5" s="133">
        <f t="shared" si="0"/>
        <v>2685580.69</v>
      </c>
      <c r="S5" s="133">
        <f t="shared" si="1"/>
        <v>21796.800000000279</v>
      </c>
    </row>
    <row r="6" spans="1:19">
      <c r="A6" s="121">
        <v>48</v>
      </c>
      <c r="B6" s="122" t="s">
        <v>50</v>
      </c>
      <c r="C6" s="131">
        <v>10906229</v>
      </c>
      <c r="D6" s="131">
        <v>11732575</v>
      </c>
      <c r="E6" s="131">
        <v>10160323.01</v>
      </c>
      <c r="F6" s="131">
        <v>353448.26</v>
      </c>
      <c r="G6" s="131">
        <v>531081.77</v>
      </c>
      <c r="H6" s="131">
        <v>549133.56000000006</v>
      </c>
      <c r="I6" s="123">
        <v>808986.07</v>
      </c>
      <c r="J6" s="131">
        <v>844067.08</v>
      </c>
      <c r="K6" s="123">
        <v>2062107.73</v>
      </c>
      <c r="L6" s="131">
        <v>558634.74</v>
      </c>
      <c r="M6" s="131">
        <v>634502.63</v>
      </c>
      <c r="N6" s="131">
        <v>939254.68</v>
      </c>
      <c r="O6" s="131">
        <v>843129.37</v>
      </c>
      <c r="P6" s="131">
        <v>855248.56</v>
      </c>
      <c r="Q6" s="132">
        <v>1169667.1299999999</v>
      </c>
      <c r="R6" s="133">
        <f t="shared" si="0"/>
        <v>10149261.580000002</v>
      </c>
      <c r="S6" s="133">
        <f t="shared" si="1"/>
        <v>11061.429999997839</v>
      </c>
    </row>
    <row r="7" spans="1:19">
      <c r="A7" s="121">
        <v>41</v>
      </c>
      <c r="B7" s="122" t="s">
        <v>49</v>
      </c>
      <c r="C7" s="131">
        <v>34955768</v>
      </c>
      <c r="D7" s="131">
        <v>31765451</v>
      </c>
      <c r="E7" s="131">
        <v>23377389.620000001</v>
      </c>
      <c r="F7" s="131">
        <v>1431578.36</v>
      </c>
      <c r="G7" s="131">
        <v>1617668.61</v>
      </c>
      <c r="H7" s="131">
        <v>1634488.99</v>
      </c>
      <c r="I7" s="123">
        <v>1663116.07</v>
      </c>
      <c r="J7" s="131">
        <v>1181616.68</v>
      </c>
      <c r="K7" s="123">
        <v>5409528.4000000004</v>
      </c>
      <c r="L7" s="131">
        <v>3147074.76</v>
      </c>
      <c r="M7" s="131">
        <v>1543679.06</v>
      </c>
      <c r="N7" s="131">
        <v>1128473.6299999999</v>
      </c>
      <c r="O7" s="131">
        <v>1373563.52</v>
      </c>
      <c r="P7" s="131">
        <v>1188372.48</v>
      </c>
      <c r="Q7" s="132">
        <v>1755176.77</v>
      </c>
      <c r="R7" s="133">
        <f t="shared" si="0"/>
        <v>23074337.329999998</v>
      </c>
      <c r="S7" s="133">
        <f t="shared" si="1"/>
        <v>303052.29000000283</v>
      </c>
    </row>
    <row r="8" spans="1:19">
      <c r="A8" s="121">
        <v>72</v>
      </c>
      <c r="B8" s="122" t="s">
        <v>10</v>
      </c>
      <c r="C8" s="131">
        <v>11138553</v>
      </c>
      <c r="D8" s="131">
        <v>12178567</v>
      </c>
      <c r="E8" s="131">
        <v>11695128.470000001</v>
      </c>
      <c r="F8" s="131">
        <v>419646.4</v>
      </c>
      <c r="G8" s="131">
        <v>784282.55</v>
      </c>
      <c r="H8" s="131">
        <v>1395865.95</v>
      </c>
      <c r="I8" s="123">
        <v>772795.76</v>
      </c>
      <c r="J8" s="131">
        <v>805653.97</v>
      </c>
      <c r="K8" s="123">
        <v>1628605.82</v>
      </c>
      <c r="L8" s="131">
        <v>441381.25</v>
      </c>
      <c r="M8" s="131">
        <v>845522.2</v>
      </c>
      <c r="N8" s="131">
        <v>1025112.67</v>
      </c>
      <c r="O8" s="131">
        <v>969416.58</v>
      </c>
      <c r="P8" s="131">
        <v>900051.95</v>
      </c>
      <c r="Q8" s="132">
        <v>955289.55</v>
      </c>
      <c r="R8" s="133">
        <f t="shared" si="0"/>
        <v>10943624.65</v>
      </c>
      <c r="S8" s="133">
        <f t="shared" si="1"/>
        <v>751503.8200000003</v>
      </c>
    </row>
    <row r="9" spans="1:19">
      <c r="A9" s="121">
        <v>44</v>
      </c>
      <c r="B9" s="122" t="s">
        <v>52</v>
      </c>
      <c r="C9" s="131">
        <v>14546174</v>
      </c>
      <c r="D9" s="131">
        <v>14631394</v>
      </c>
      <c r="E9" s="131">
        <v>13489122.529999999</v>
      </c>
      <c r="F9" s="131">
        <v>574469.71</v>
      </c>
      <c r="G9" s="131">
        <v>905864.23</v>
      </c>
      <c r="H9" s="131">
        <v>909902.99</v>
      </c>
      <c r="I9" s="123">
        <v>1312376.79</v>
      </c>
      <c r="J9" s="131">
        <v>894655.55</v>
      </c>
      <c r="K9" s="123">
        <v>2496664.0699999998</v>
      </c>
      <c r="L9" s="131">
        <v>876536.28</v>
      </c>
      <c r="M9" s="131">
        <v>906883.95</v>
      </c>
      <c r="N9" s="131">
        <v>913618.24</v>
      </c>
      <c r="O9" s="131">
        <v>1337503.48</v>
      </c>
      <c r="P9" s="131">
        <v>907893.73</v>
      </c>
      <c r="Q9" s="132">
        <v>1420683.14</v>
      </c>
      <c r="R9" s="133">
        <f t="shared" si="0"/>
        <v>13457052.160000002</v>
      </c>
      <c r="S9" s="133">
        <f t="shared" si="1"/>
        <v>32070.369999997318</v>
      </c>
    </row>
    <row r="10" spans="1:19">
      <c r="A10" s="121">
        <v>52</v>
      </c>
      <c r="B10" s="122" t="s">
        <v>53</v>
      </c>
      <c r="C10" s="131">
        <v>10460745</v>
      </c>
      <c r="D10" s="131">
        <v>10518776</v>
      </c>
      <c r="E10" s="131">
        <v>10044089.84</v>
      </c>
      <c r="F10" s="131">
        <v>436609.02</v>
      </c>
      <c r="G10" s="131">
        <v>677587.09</v>
      </c>
      <c r="H10" s="131">
        <v>697898.75</v>
      </c>
      <c r="I10" s="123">
        <v>1005594.71</v>
      </c>
      <c r="J10" s="131">
        <v>630396.66</v>
      </c>
      <c r="K10" s="123">
        <v>1669627.4</v>
      </c>
      <c r="L10" s="131">
        <v>694022.24</v>
      </c>
      <c r="M10" s="131">
        <v>722660.2</v>
      </c>
      <c r="N10" s="131">
        <v>682437.1</v>
      </c>
      <c r="O10" s="131">
        <v>1038086.89</v>
      </c>
      <c r="P10" s="131">
        <v>734210.66</v>
      </c>
      <c r="Q10" s="132">
        <v>1023515.48</v>
      </c>
      <c r="R10" s="133">
        <f t="shared" si="0"/>
        <v>10012646.199999999</v>
      </c>
      <c r="S10" s="133">
        <f t="shared" si="1"/>
        <v>31443.640000000596</v>
      </c>
    </row>
    <row r="11" spans="1:19">
      <c r="A11" s="121">
        <v>56</v>
      </c>
      <c r="B11" s="122" t="s">
        <v>7</v>
      </c>
      <c r="C11" s="131">
        <v>10829424</v>
      </c>
      <c r="D11" s="131">
        <v>11207054</v>
      </c>
      <c r="E11" s="131">
        <v>10215087.15</v>
      </c>
      <c r="F11" s="131">
        <v>321212.7</v>
      </c>
      <c r="G11" s="131">
        <v>559101.18999999994</v>
      </c>
      <c r="H11" s="131">
        <v>817106.61</v>
      </c>
      <c r="I11" s="123">
        <v>917006.02</v>
      </c>
      <c r="J11" s="131">
        <v>816342.56</v>
      </c>
      <c r="K11" s="123">
        <v>1294072.3600000001</v>
      </c>
      <c r="L11" s="131">
        <v>835697.68</v>
      </c>
      <c r="M11" s="131">
        <v>692831.17</v>
      </c>
      <c r="N11" s="131">
        <v>719869.07</v>
      </c>
      <c r="O11" s="131">
        <v>672976.13</v>
      </c>
      <c r="P11" s="131">
        <v>1014794.7</v>
      </c>
      <c r="Q11" s="132">
        <v>967046.18</v>
      </c>
      <c r="R11" s="133">
        <f t="shared" si="0"/>
        <v>9628056.3699999992</v>
      </c>
      <c r="S11" s="133">
        <f t="shared" si="1"/>
        <v>587030.78000000119</v>
      </c>
    </row>
    <row r="12" spans="1:19">
      <c r="A12" s="121">
        <v>64</v>
      </c>
      <c r="B12" s="122" t="s">
        <v>51</v>
      </c>
      <c r="C12" s="131">
        <v>44763416</v>
      </c>
      <c r="D12" s="131">
        <v>45148643</v>
      </c>
      <c r="E12" s="131">
        <v>43765999.130000003</v>
      </c>
      <c r="F12" s="131">
        <v>2247980.7000000002</v>
      </c>
      <c r="G12" s="131">
        <v>2808746.79</v>
      </c>
      <c r="H12" s="131">
        <v>3223190.55</v>
      </c>
      <c r="I12" s="123">
        <v>4336135.21</v>
      </c>
      <c r="J12" s="131">
        <v>2816611.18</v>
      </c>
      <c r="K12" s="123">
        <v>7856557.6699999999</v>
      </c>
      <c r="L12" s="131">
        <v>2796134.8</v>
      </c>
      <c r="M12" s="131">
        <v>2829764.63</v>
      </c>
      <c r="N12" s="131">
        <v>3207594.04</v>
      </c>
      <c r="O12" s="131">
        <v>4247398.1500000004</v>
      </c>
      <c r="P12" s="131">
        <v>2825125.76</v>
      </c>
      <c r="Q12" s="132">
        <v>4503914.0199999996</v>
      </c>
      <c r="R12" s="133">
        <f t="shared" si="0"/>
        <v>43699153.5</v>
      </c>
      <c r="S12" s="133">
        <f t="shared" si="1"/>
        <v>66845.630000002682</v>
      </c>
    </row>
    <row r="13" spans="1:19">
      <c r="A13" s="121">
        <v>68</v>
      </c>
      <c r="B13" s="122" t="s">
        <v>108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23">
        <v>0</v>
      </c>
      <c r="J13" s="131">
        <v>0</v>
      </c>
      <c r="K13" s="123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2">
        <v>0</v>
      </c>
      <c r="R13" s="133">
        <f t="shared" si="0"/>
        <v>0</v>
      </c>
      <c r="S13" s="133">
        <f t="shared" si="1"/>
        <v>0</v>
      </c>
    </row>
    <row r="14" spans="1:19">
      <c r="A14" s="124">
        <v>88</v>
      </c>
      <c r="B14" s="125" t="s">
        <v>12</v>
      </c>
      <c r="C14" s="131">
        <v>8707782</v>
      </c>
      <c r="D14" s="131">
        <v>13464262</v>
      </c>
      <c r="E14" s="131">
        <v>13315154.310000001</v>
      </c>
      <c r="F14" s="131">
        <v>0</v>
      </c>
      <c r="G14" s="131">
        <v>0</v>
      </c>
      <c r="H14" s="131">
        <v>2000000</v>
      </c>
      <c r="I14" s="126">
        <v>6150000</v>
      </c>
      <c r="J14" s="131">
        <v>0</v>
      </c>
      <c r="K14" s="126">
        <v>518245</v>
      </c>
      <c r="L14" s="131">
        <v>0</v>
      </c>
      <c r="M14" s="131">
        <v>16000</v>
      </c>
      <c r="N14" s="131">
        <v>78100</v>
      </c>
      <c r="O14" s="131">
        <v>0</v>
      </c>
      <c r="P14" s="131">
        <v>425071</v>
      </c>
      <c r="Q14" s="132">
        <v>234075</v>
      </c>
      <c r="R14" s="133">
        <f t="shared" si="0"/>
        <v>9421491</v>
      </c>
      <c r="S14" s="133">
        <f t="shared" si="1"/>
        <v>3893663.3100000005</v>
      </c>
    </row>
    <row r="15" spans="1:19">
      <c r="A15" s="127"/>
      <c r="B15" s="128"/>
      <c r="C15" s="130">
        <f>SUBTOTAL(9,C2:C14)</f>
        <v>150486607</v>
      </c>
      <c r="D15" s="130">
        <f t="shared" ref="D15:Q15" si="2">SUBTOTAL(9,D2:D14)</f>
        <v>159298012</v>
      </c>
      <c r="E15" s="130">
        <f t="shared" si="2"/>
        <v>144055283.47000003</v>
      </c>
      <c r="F15" s="130">
        <f t="shared" si="2"/>
        <v>5893259.7599999998</v>
      </c>
      <c r="G15" s="130">
        <f t="shared" si="2"/>
        <v>8126630.5000000009</v>
      </c>
      <c r="H15" s="130">
        <f t="shared" si="2"/>
        <v>11562007.720000001</v>
      </c>
      <c r="I15" s="130">
        <f t="shared" si="2"/>
        <v>17148151.600000001</v>
      </c>
      <c r="J15" s="130">
        <f t="shared" si="2"/>
        <v>8165462.3099999987</v>
      </c>
      <c r="K15" s="130">
        <f t="shared" si="2"/>
        <v>23874586.420000002</v>
      </c>
      <c r="L15" s="130">
        <f t="shared" si="2"/>
        <v>9581826.75</v>
      </c>
      <c r="M15" s="130">
        <f t="shared" si="2"/>
        <v>8441164.5500000007</v>
      </c>
      <c r="N15" s="130">
        <f t="shared" si="2"/>
        <v>9008513.1899999995</v>
      </c>
      <c r="O15" s="130">
        <f t="shared" si="2"/>
        <v>16465100.500000002</v>
      </c>
      <c r="P15" s="130">
        <f t="shared" si="2"/>
        <v>7784386.3899999997</v>
      </c>
      <c r="Q15" s="130">
        <f t="shared" si="2"/>
        <v>12304098.779999999</v>
      </c>
      <c r="R15" s="130">
        <f>SUBTOTAL(9,R2:R14)</f>
        <v>138355188.47000003</v>
      </c>
      <c r="S15" s="130">
        <f>SUBTOTAL(9,S2:S14)</f>
        <v>5700095.0000000037</v>
      </c>
    </row>
    <row r="16" spans="1:19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r:id="rId1"/>
  <headerFooter alignWithMargins="0">
    <oddHeader>&amp;L&amp;B&amp;"Arial"&amp;10Fund: 1&amp;C&amp;B&amp;"Times New Roman"&amp;14Expenditure / Budget for FY2009&amp;R&amp;"Arial"&amp;8Date: 1/6/2010</oddHeader>
    <oddFooter>&amp;L&amp;C&amp;"Arial"&amp;10Page &amp;P&amp;R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opLeftCell="C1" workbookViewId="0">
      <pane ySplit="1" topLeftCell="A2" activePane="bottomLeft" state="frozen"/>
      <selection pane="bottomLeft" activeCell="O33" sqref="O33:Q33"/>
    </sheetView>
  </sheetViews>
  <sheetFormatPr defaultColWidth="8" defaultRowHeight="12.75"/>
  <cols>
    <col min="1" max="1" width="27.25" style="108" bestFit="1" customWidth="1"/>
    <col min="2" max="2" width="26.625" style="108" bestFit="1" customWidth="1"/>
    <col min="3" max="3" width="9.125" style="108" bestFit="1" customWidth="1"/>
    <col min="4" max="4" width="13.5" style="108" bestFit="1" customWidth="1"/>
    <col min="5" max="5" width="14.875" style="108" bestFit="1" customWidth="1"/>
    <col min="6" max="10" width="12.5" style="108" bestFit="1" customWidth="1"/>
    <col min="11" max="14" width="11.875" style="108" bestFit="1" customWidth="1"/>
    <col min="15" max="17" width="12.75" style="108" bestFit="1" customWidth="1"/>
    <col min="18" max="18" width="15.75" style="108" customWidth="1"/>
    <col min="19" max="16384" width="8" style="108"/>
  </cols>
  <sheetData>
    <row r="1" spans="1:19" s="30" customFormat="1" ht="25.5">
      <c r="A1" s="43" t="s">
        <v>60</v>
      </c>
      <c r="B1" s="44" t="s">
        <v>61</v>
      </c>
      <c r="C1" s="44" t="s">
        <v>62</v>
      </c>
      <c r="D1" s="44" t="s">
        <v>5</v>
      </c>
      <c r="E1" s="44" t="s">
        <v>63</v>
      </c>
      <c r="F1" s="44" t="s">
        <v>64</v>
      </c>
      <c r="G1" s="44" t="s">
        <v>65</v>
      </c>
      <c r="H1" s="44" t="s">
        <v>66</v>
      </c>
      <c r="I1" s="44" t="s">
        <v>67</v>
      </c>
      <c r="J1" s="44" t="s">
        <v>68</v>
      </c>
      <c r="K1" s="44" t="s">
        <v>69</v>
      </c>
      <c r="L1" s="44" t="s">
        <v>70</v>
      </c>
      <c r="M1" s="44" t="s">
        <v>71</v>
      </c>
      <c r="N1" s="44" t="s">
        <v>72</v>
      </c>
      <c r="O1" s="44" t="s">
        <v>73</v>
      </c>
      <c r="P1" s="44" t="s">
        <v>74</v>
      </c>
      <c r="Q1" s="45" t="s">
        <v>75</v>
      </c>
      <c r="R1" s="61"/>
      <c r="S1" s="61"/>
    </row>
    <row r="2" spans="1:19">
      <c r="A2" s="109" t="s">
        <v>16</v>
      </c>
      <c r="B2" s="113" t="s">
        <v>76</v>
      </c>
      <c r="C2" s="114">
        <v>2008</v>
      </c>
      <c r="D2" s="115">
        <v>117399101.34999999</v>
      </c>
      <c r="E2" s="115">
        <v>106565989</v>
      </c>
      <c r="F2" s="115">
        <v>886094.05</v>
      </c>
      <c r="G2" s="115">
        <v>8160290.6200000001</v>
      </c>
      <c r="H2" s="115">
        <v>43260688.329999998</v>
      </c>
      <c r="I2" s="115">
        <v>41400533.270000003</v>
      </c>
      <c r="J2" s="115">
        <v>16599382.390000001</v>
      </c>
      <c r="K2" s="115">
        <v>2208318.87</v>
      </c>
      <c r="L2" s="115">
        <v>1159880.08</v>
      </c>
      <c r="M2" s="115">
        <v>1074299.4099999999</v>
      </c>
      <c r="N2" s="115">
        <v>932009.32</v>
      </c>
      <c r="O2" s="115">
        <v>531116.09</v>
      </c>
      <c r="P2" s="115">
        <v>467258.53</v>
      </c>
      <c r="Q2" s="115">
        <v>719230.39</v>
      </c>
    </row>
    <row r="3" spans="1:19" s="40" customFormat="1" ht="19.5" customHeight="1">
      <c r="A3" s="39"/>
      <c r="D3" s="41">
        <f>SUBTOTAL(9,D2)</f>
        <v>117399101.34999999</v>
      </c>
      <c r="E3" s="41">
        <f>SUBTOTAL(9,E2)</f>
        <v>106565989</v>
      </c>
      <c r="F3" s="41">
        <f t="shared" ref="F3:Q3" si="0">SUBTOTAL(9,F2)</f>
        <v>886094.05</v>
      </c>
      <c r="G3" s="41">
        <f t="shared" si="0"/>
        <v>8160290.6200000001</v>
      </c>
      <c r="H3" s="41">
        <f t="shared" si="0"/>
        <v>43260688.329999998</v>
      </c>
      <c r="I3" s="41">
        <f t="shared" si="0"/>
        <v>41400533.270000003</v>
      </c>
      <c r="J3" s="41">
        <f t="shared" si="0"/>
        <v>16599382.390000001</v>
      </c>
      <c r="K3" s="41">
        <f t="shared" si="0"/>
        <v>2208318.87</v>
      </c>
      <c r="L3" s="41">
        <f t="shared" si="0"/>
        <v>1159880.08</v>
      </c>
      <c r="M3" s="41">
        <f t="shared" si="0"/>
        <v>1074299.4099999999</v>
      </c>
      <c r="N3" s="41">
        <f t="shared" si="0"/>
        <v>932009.32</v>
      </c>
      <c r="O3" s="41">
        <f t="shared" si="0"/>
        <v>531116.09</v>
      </c>
      <c r="P3" s="41">
        <f t="shared" si="0"/>
        <v>467258.53</v>
      </c>
      <c r="Q3" s="47">
        <f t="shared" si="0"/>
        <v>719230.39</v>
      </c>
      <c r="R3" s="62">
        <f>SUM(F3:Q3)</f>
        <v>117399101.35000001</v>
      </c>
      <c r="S3" s="62">
        <f>R3-D3</f>
        <v>0</v>
      </c>
    </row>
    <row r="4" spans="1:19">
      <c r="A4" s="110" t="s">
        <v>0</v>
      </c>
      <c r="B4" s="113" t="s">
        <v>77</v>
      </c>
      <c r="C4" s="114">
        <v>2008</v>
      </c>
      <c r="D4" s="115">
        <v>4000</v>
      </c>
      <c r="E4" s="115">
        <v>4200</v>
      </c>
      <c r="F4" s="115">
        <v>500</v>
      </c>
      <c r="G4" s="115">
        <v>0</v>
      </c>
      <c r="H4" s="115">
        <v>500</v>
      </c>
      <c r="I4" s="115">
        <v>0</v>
      </c>
      <c r="J4" s="115">
        <v>1500</v>
      </c>
      <c r="K4" s="115">
        <v>0</v>
      </c>
      <c r="L4" s="115">
        <v>0</v>
      </c>
      <c r="M4" s="115">
        <v>0</v>
      </c>
      <c r="N4" s="115">
        <v>500</v>
      </c>
      <c r="O4" s="115">
        <v>500</v>
      </c>
      <c r="P4" s="115">
        <v>500</v>
      </c>
      <c r="Q4" s="115">
        <v>0</v>
      </c>
    </row>
    <row r="5" spans="1:19">
      <c r="A5" s="111"/>
      <c r="B5" s="113" t="s">
        <v>78</v>
      </c>
      <c r="C5" s="114">
        <v>2008</v>
      </c>
      <c r="D5" s="115">
        <v>0</v>
      </c>
      <c r="E5" s="115">
        <v>0</v>
      </c>
      <c r="F5" s="115">
        <v>0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115">
        <v>0</v>
      </c>
      <c r="Q5" s="115">
        <v>0</v>
      </c>
    </row>
    <row r="6" spans="1:19" s="40" customFormat="1" ht="19.5" customHeight="1">
      <c r="A6" s="39"/>
      <c r="D6" s="41">
        <f>SUBTOTAL(9,D4:D5)</f>
        <v>4000</v>
      </c>
      <c r="E6" s="41">
        <f>SUBTOTAL(9,E4:E5)</f>
        <v>4200</v>
      </c>
      <c r="F6" s="41">
        <f t="shared" ref="F6:Q6" si="1">SUBTOTAL(9,F4:F5)</f>
        <v>500</v>
      </c>
      <c r="G6" s="41">
        <f t="shared" si="1"/>
        <v>0</v>
      </c>
      <c r="H6" s="41">
        <f t="shared" si="1"/>
        <v>500</v>
      </c>
      <c r="I6" s="41">
        <f t="shared" si="1"/>
        <v>0</v>
      </c>
      <c r="J6" s="41">
        <f t="shared" si="1"/>
        <v>1500</v>
      </c>
      <c r="K6" s="41">
        <f t="shared" si="1"/>
        <v>0</v>
      </c>
      <c r="L6" s="41">
        <f t="shared" si="1"/>
        <v>0</v>
      </c>
      <c r="M6" s="41">
        <f t="shared" si="1"/>
        <v>0</v>
      </c>
      <c r="N6" s="41">
        <f t="shared" si="1"/>
        <v>500</v>
      </c>
      <c r="O6" s="41">
        <f t="shared" si="1"/>
        <v>500</v>
      </c>
      <c r="P6" s="41">
        <f t="shared" si="1"/>
        <v>500</v>
      </c>
      <c r="Q6" s="47">
        <f t="shared" si="1"/>
        <v>0</v>
      </c>
      <c r="R6" s="62">
        <f>SUM(F6:Q6)</f>
        <v>4000</v>
      </c>
      <c r="S6" s="62">
        <f>R6-D6</f>
        <v>0</v>
      </c>
    </row>
    <row r="7" spans="1:19">
      <c r="A7" s="110" t="s">
        <v>17</v>
      </c>
      <c r="B7" s="113" t="s">
        <v>79</v>
      </c>
      <c r="C7" s="114">
        <v>2008</v>
      </c>
      <c r="D7" s="115">
        <v>434271</v>
      </c>
      <c r="E7" s="115">
        <v>12200</v>
      </c>
      <c r="F7" s="115">
        <v>0</v>
      </c>
      <c r="G7" s="115">
        <v>400</v>
      </c>
      <c r="H7" s="115">
        <v>425471</v>
      </c>
      <c r="I7" s="115">
        <v>-1144.57</v>
      </c>
      <c r="J7" s="115">
        <v>2600</v>
      </c>
      <c r="K7" s="115">
        <v>600</v>
      </c>
      <c r="L7" s="115">
        <v>0</v>
      </c>
      <c r="M7" s="115">
        <v>1400</v>
      </c>
      <c r="N7" s="115">
        <v>400</v>
      </c>
      <c r="O7" s="115">
        <v>1400</v>
      </c>
      <c r="P7" s="115">
        <v>1800</v>
      </c>
      <c r="Q7" s="115">
        <v>1344.57</v>
      </c>
    </row>
    <row r="8" spans="1:19">
      <c r="A8" s="112"/>
      <c r="B8" s="113" t="s">
        <v>80</v>
      </c>
      <c r="C8" s="114">
        <v>2008</v>
      </c>
      <c r="D8" s="115">
        <v>85621</v>
      </c>
      <c r="E8" s="115">
        <v>54000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53286</v>
      </c>
      <c r="P8" s="115">
        <v>0</v>
      </c>
      <c r="Q8" s="115">
        <v>32335</v>
      </c>
    </row>
    <row r="9" spans="1:19">
      <c r="A9" s="112"/>
      <c r="B9" s="113" t="s">
        <v>81</v>
      </c>
      <c r="C9" s="114">
        <v>2008</v>
      </c>
      <c r="D9" s="115">
        <v>1454740.99</v>
      </c>
      <c r="E9" s="115">
        <v>1162880</v>
      </c>
      <c r="F9" s="115">
        <v>32816.660000000003</v>
      </c>
      <c r="G9" s="115">
        <v>78959.839999999997</v>
      </c>
      <c r="H9" s="115">
        <v>31215.87</v>
      </c>
      <c r="I9" s="115">
        <v>16418.66</v>
      </c>
      <c r="J9" s="115">
        <v>178514.36</v>
      </c>
      <c r="K9" s="115">
        <v>19134.28</v>
      </c>
      <c r="L9" s="115">
        <v>474150.65</v>
      </c>
      <c r="M9" s="115">
        <v>122769.46</v>
      </c>
      <c r="N9" s="115">
        <v>2582.79</v>
      </c>
      <c r="O9" s="115">
        <v>112253.66</v>
      </c>
      <c r="P9" s="115">
        <v>302071.23</v>
      </c>
      <c r="Q9" s="115">
        <v>83853.53</v>
      </c>
    </row>
    <row r="10" spans="1:19">
      <c r="A10" s="111"/>
      <c r="B10" s="113" t="s">
        <v>82</v>
      </c>
      <c r="C10" s="114">
        <v>2008</v>
      </c>
      <c r="D10" s="115">
        <v>2004597.3</v>
      </c>
      <c r="E10" s="115">
        <v>1850000</v>
      </c>
      <c r="F10" s="115">
        <v>0</v>
      </c>
      <c r="G10" s="115">
        <v>0</v>
      </c>
      <c r="H10" s="115">
        <v>0</v>
      </c>
      <c r="I10" s="115">
        <v>446515.91</v>
      </c>
      <c r="J10" s="115">
        <v>0</v>
      </c>
      <c r="K10" s="115">
        <v>0</v>
      </c>
      <c r="L10" s="115">
        <v>485208.51</v>
      </c>
      <c r="M10" s="115">
        <v>0</v>
      </c>
      <c r="N10" s="115">
        <v>0</v>
      </c>
      <c r="O10" s="115">
        <v>533402.44999999995</v>
      </c>
      <c r="P10" s="115">
        <v>0</v>
      </c>
      <c r="Q10" s="115">
        <v>539470.43000000005</v>
      </c>
    </row>
    <row r="11" spans="1:19" s="40" customFormat="1" ht="19.5" customHeight="1">
      <c r="A11" s="39"/>
      <c r="D11" s="41">
        <f>SUBTOTAL(9,D7:D10)</f>
        <v>3979230.29</v>
      </c>
      <c r="E11" s="41">
        <f>SUBTOTAL(9,E7:E10)</f>
        <v>3079080</v>
      </c>
      <c r="F11" s="41">
        <f t="shared" ref="F11:Q11" si="2">SUBTOTAL(9,F7:F10)</f>
        <v>32816.660000000003</v>
      </c>
      <c r="G11" s="41">
        <f t="shared" si="2"/>
        <v>79359.839999999997</v>
      </c>
      <c r="H11" s="41">
        <f t="shared" si="2"/>
        <v>456686.87</v>
      </c>
      <c r="I11" s="41">
        <f t="shared" si="2"/>
        <v>461790</v>
      </c>
      <c r="J11" s="41">
        <f t="shared" si="2"/>
        <v>181114.36</v>
      </c>
      <c r="K11" s="41">
        <f t="shared" si="2"/>
        <v>19734.28</v>
      </c>
      <c r="L11" s="41">
        <f t="shared" si="2"/>
        <v>959359.16</v>
      </c>
      <c r="M11" s="41">
        <f t="shared" si="2"/>
        <v>124169.46</v>
      </c>
      <c r="N11" s="41">
        <f t="shared" si="2"/>
        <v>2982.79</v>
      </c>
      <c r="O11" s="41">
        <f t="shared" si="2"/>
        <v>700342.11</v>
      </c>
      <c r="P11" s="41">
        <f t="shared" si="2"/>
        <v>303871.23</v>
      </c>
      <c r="Q11" s="47">
        <f t="shared" si="2"/>
        <v>657003.53</v>
      </c>
      <c r="R11" s="62">
        <f>SUM(F11:Q11)</f>
        <v>3979230.29</v>
      </c>
      <c r="S11" s="62">
        <f>R11-D11</f>
        <v>0</v>
      </c>
    </row>
    <row r="12" spans="1:19">
      <c r="A12" s="110" t="s">
        <v>20</v>
      </c>
      <c r="B12" s="113" t="s">
        <v>83</v>
      </c>
      <c r="C12" s="114">
        <v>2008</v>
      </c>
      <c r="D12" s="115">
        <v>5044359.87</v>
      </c>
      <c r="E12" s="115">
        <v>5026450</v>
      </c>
      <c r="F12" s="115">
        <v>161947.37</v>
      </c>
      <c r="G12" s="115">
        <v>368029.13</v>
      </c>
      <c r="H12" s="115">
        <v>373875.39</v>
      </c>
      <c r="I12" s="115">
        <v>849483.47</v>
      </c>
      <c r="J12" s="115">
        <v>243720.78</v>
      </c>
      <c r="K12" s="115">
        <v>370497.37</v>
      </c>
      <c r="L12" s="115">
        <v>775694.51</v>
      </c>
      <c r="M12" s="115">
        <v>290079.48</v>
      </c>
      <c r="N12" s="115">
        <v>203598.68</v>
      </c>
      <c r="O12" s="115">
        <v>509561.37</v>
      </c>
      <c r="P12" s="115">
        <v>440163.5</v>
      </c>
      <c r="Q12" s="115">
        <v>457708.82</v>
      </c>
    </row>
    <row r="13" spans="1:19">
      <c r="A13" s="112"/>
      <c r="B13" s="113" t="s">
        <v>84</v>
      </c>
      <c r="C13" s="114">
        <v>2008</v>
      </c>
      <c r="D13" s="115">
        <v>4269423.2300000004</v>
      </c>
      <c r="E13" s="115">
        <v>3311600</v>
      </c>
      <c r="F13" s="115">
        <v>225446.92</v>
      </c>
      <c r="G13" s="115">
        <v>303233.62</v>
      </c>
      <c r="H13" s="115">
        <v>367777.53</v>
      </c>
      <c r="I13" s="115">
        <v>317909.58</v>
      </c>
      <c r="J13" s="115">
        <v>506700.27</v>
      </c>
      <c r="K13" s="115">
        <v>188282.12</v>
      </c>
      <c r="L13" s="115">
        <v>243773.82</v>
      </c>
      <c r="M13" s="115">
        <v>184845.77</v>
      </c>
      <c r="N13" s="115">
        <v>227135.42</v>
      </c>
      <c r="O13" s="115">
        <v>187929.29</v>
      </c>
      <c r="P13" s="115">
        <v>923138.67</v>
      </c>
      <c r="Q13" s="115">
        <v>593250.22</v>
      </c>
    </row>
    <row r="14" spans="1:19">
      <c r="A14" s="112"/>
      <c r="B14" s="113" t="s">
        <v>85</v>
      </c>
      <c r="C14" s="114">
        <v>2008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</row>
    <row r="15" spans="1:19">
      <c r="A15" s="112"/>
      <c r="B15" s="113" t="s">
        <v>86</v>
      </c>
      <c r="C15" s="114">
        <v>2008</v>
      </c>
      <c r="D15" s="115">
        <v>6352075.4699999997</v>
      </c>
      <c r="E15" s="115">
        <v>7711075</v>
      </c>
      <c r="F15" s="115">
        <v>519693.86</v>
      </c>
      <c r="G15" s="115">
        <v>794040.02</v>
      </c>
      <c r="H15" s="115">
        <v>687098.47</v>
      </c>
      <c r="I15" s="115">
        <v>703630.85</v>
      </c>
      <c r="J15" s="115">
        <v>667267.05000000005</v>
      </c>
      <c r="K15" s="115">
        <v>666307.68000000005</v>
      </c>
      <c r="L15" s="115">
        <v>821610.9</v>
      </c>
      <c r="M15" s="115">
        <v>670317.77</v>
      </c>
      <c r="N15" s="115">
        <v>-216052.97</v>
      </c>
      <c r="O15" s="115">
        <v>452450.56</v>
      </c>
      <c r="P15" s="115">
        <v>697484.02</v>
      </c>
      <c r="Q15" s="115">
        <v>-111772.74</v>
      </c>
    </row>
    <row r="16" spans="1:19">
      <c r="A16" s="112"/>
      <c r="B16" s="113" t="s">
        <v>87</v>
      </c>
      <c r="C16" s="114">
        <v>2008</v>
      </c>
      <c r="D16" s="115">
        <v>21380</v>
      </c>
      <c r="E16" s="115">
        <v>20500</v>
      </c>
      <c r="F16" s="115">
        <v>2220</v>
      </c>
      <c r="G16" s="115">
        <v>1460</v>
      </c>
      <c r="H16" s="115">
        <v>1240</v>
      </c>
      <c r="I16" s="115">
        <v>1520</v>
      </c>
      <c r="J16" s="115">
        <v>1380</v>
      </c>
      <c r="K16" s="115">
        <v>1540</v>
      </c>
      <c r="L16" s="115">
        <v>1760</v>
      </c>
      <c r="M16" s="115">
        <v>1960</v>
      </c>
      <c r="N16" s="115">
        <v>2280</v>
      </c>
      <c r="O16" s="115">
        <v>2120</v>
      </c>
      <c r="P16" s="115">
        <v>1900</v>
      </c>
      <c r="Q16" s="115">
        <v>2000</v>
      </c>
    </row>
    <row r="17" spans="1:19">
      <c r="A17" s="111"/>
      <c r="B17" s="113" t="s">
        <v>88</v>
      </c>
      <c r="C17" s="114">
        <v>2008</v>
      </c>
      <c r="D17" s="115">
        <v>243421.77</v>
      </c>
      <c r="E17" s="115">
        <v>562000</v>
      </c>
      <c r="F17" s="115">
        <v>11198</v>
      </c>
      <c r="G17" s="115">
        <v>24939.99</v>
      </c>
      <c r="H17" s="115">
        <v>20272.7</v>
      </c>
      <c r="I17" s="115">
        <v>19798.48</v>
      </c>
      <c r="J17" s="115">
        <v>22361.05</v>
      </c>
      <c r="K17" s="115">
        <v>25411.99</v>
      </c>
      <c r="L17" s="115">
        <v>21376.57</v>
      </c>
      <c r="M17" s="115">
        <v>26524.73</v>
      </c>
      <c r="N17" s="115">
        <v>21480.01</v>
      </c>
      <c r="O17" s="115">
        <v>23796.04</v>
      </c>
      <c r="P17" s="115">
        <v>15154.93</v>
      </c>
      <c r="Q17" s="115">
        <v>11107.28</v>
      </c>
    </row>
    <row r="18" spans="1:19" s="40" customFormat="1" ht="19.5" customHeight="1">
      <c r="A18" s="39"/>
      <c r="D18" s="41">
        <f>SUBTOTAL(9,D12:D17)</f>
        <v>15930660.34</v>
      </c>
      <c r="E18" s="41">
        <f>SUBTOTAL(9,E12:E17)</f>
        <v>16631625</v>
      </c>
      <c r="F18" s="41">
        <f t="shared" ref="F18:Q18" si="3">SUBTOTAL(9,F12:F17)</f>
        <v>920506.15</v>
      </c>
      <c r="G18" s="41">
        <f t="shared" si="3"/>
        <v>1491702.76</v>
      </c>
      <c r="H18" s="41">
        <f t="shared" si="3"/>
        <v>1450264.09</v>
      </c>
      <c r="I18" s="41">
        <f t="shared" si="3"/>
        <v>1892342.38</v>
      </c>
      <c r="J18" s="41">
        <f t="shared" si="3"/>
        <v>1441429.1500000001</v>
      </c>
      <c r="K18" s="41">
        <f t="shared" si="3"/>
        <v>1252039.1599999999</v>
      </c>
      <c r="L18" s="41">
        <f t="shared" si="3"/>
        <v>1864215.8</v>
      </c>
      <c r="M18" s="41">
        <f t="shared" si="3"/>
        <v>1173727.75</v>
      </c>
      <c r="N18" s="41">
        <f t="shared" si="3"/>
        <v>238441.13999999998</v>
      </c>
      <c r="O18" s="41">
        <f t="shared" si="3"/>
        <v>1175857.26</v>
      </c>
      <c r="P18" s="41">
        <f t="shared" si="3"/>
        <v>2077841.1199999999</v>
      </c>
      <c r="Q18" s="47">
        <f t="shared" si="3"/>
        <v>952293.58000000007</v>
      </c>
      <c r="R18" s="62">
        <f>SUM(F18:Q18)</f>
        <v>15930660.34</v>
      </c>
      <c r="S18" s="62">
        <f>R18-D18</f>
        <v>0</v>
      </c>
    </row>
    <row r="19" spans="1:19">
      <c r="A19" s="109" t="s">
        <v>22</v>
      </c>
      <c r="B19" s="113" t="s">
        <v>89</v>
      </c>
      <c r="C19" s="114">
        <v>2008</v>
      </c>
      <c r="D19" s="115">
        <v>2688475.7</v>
      </c>
      <c r="E19" s="115">
        <v>2967500</v>
      </c>
      <c r="F19" s="115">
        <v>172030.39</v>
      </c>
      <c r="G19" s="115">
        <v>173356.45</v>
      </c>
      <c r="H19" s="115">
        <v>217817.81</v>
      </c>
      <c r="I19" s="115">
        <v>228331.73</v>
      </c>
      <c r="J19" s="115">
        <v>194257.74</v>
      </c>
      <c r="K19" s="115">
        <v>249976.91</v>
      </c>
      <c r="L19" s="115">
        <v>267045.87</v>
      </c>
      <c r="M19" s="115">
        <v>270842.01</v>
      </c>
      <c r="N19" s="115">
        <v>308360.48</v>
      </c>
      <c r="O19" s="115">
        <v>127320.42</v>
      </c>
      <c r="P19" s="115">
        <v>239163.48</v>
      </c>
      <c r="Q19" s="115">
        <v>239972.41</v>
      </c>
    </row>
    <row r="20" spans="1:19" s="40" customFormat="1" ht="19.5" customHeight="1">
      <c r="A20" s="39"/>
      <c r="D20" s="41">
        <f>SUBTOTAL(9,D19)</f>
        <v>2688475.7</v>
      </c>
      <c r="E20" s="41">
        <f>SUBTOTAL(9,E19)</f>
        <v>2967500</v>
      </c>
      <c r="F20" s="41">
        <f t="shared" ref="F20:Q20" si="4">SUBTOTAL(9,F19)</f>
        <v>172030.39</v>
      </c>
      <c r="G20" s="41">
        <f t="shared" si="4"/>
        <v>173356.45</v>
      </c>
      <c r="H20" s="41">
        <f t="shared" si="4"/>
        <v>217817.81</v>
      </c>
      <c r="I20" s="41">
        <f t="shared" si="4"/>
        <v>228331.73</v>
      </c>
      <c r="J20" s="41">
        <f t="shared" si="4"/>
        <v>194257.74</v>
      </c>
      <c r="K20" s="41">
        <f t="shared" si="4"/>
        <v>249976.91</v>
      </c>
      <c r="L20" s="41">
        <f t="shared" si="4"/>
        <v>267045.87</v>
      </c>
      <c r="M20" s="41">
        <f t="shared" si="4"/>
        <v>270842.01</v>
      </c>
      <c r="N20" s="41">
        <f t="shared" si="4"/>
        <v>308360.48</v>
      </c>
      <c r="O20" s="41">
        <f t="shared" si="4"/>
        <v>127320.42</v>
      </c>
      <c r="P20" s="41">
        <f t="shared" si="4"/>
        <v>239163.48</v>
      </c>
      <c r="Q20" s="47">
        <f t="shared" si="4"/>
        <v>239972.41</v>
      </c>
      <c r="R20" s="62">
        <f>SUM(F20:Q20)</f>
        <v>2688475.7</v>
      </c>
      <c r="S20" s="62">
        <f>R20-D20</f>
        <v>0</v>
      </c>
    </row>
    <row r="21" spans="1:19">
      <c r="A21" s="110" t="s">
        <v>18</v>
      </c>
      <c r="B21" s="113" t="s">
        <v>90</v>
      </c>
      <c r="C21" s="114">
        <v>2008</v>
      </c>
      <c r="D21" s="115">
        <v>6556584.8600000003</v>
      </c>
      <c r="E21" s="115">
        <v>6975000</v>
      </c>
      <c r="F21" s="115">
        <v>-12128.81</v>
      </c>
      <c r="G21" s="115">
        <v>477487.92</v>
      </c>
      <c r="H21" s="115">
        <v>874914.09</v>
      </c>
      <c r="I21" s="115">
        <v>641637.56000000006</v>
      </c>
      <c r="J21" s="115">
        <v>335428.39</v>
      </c>
      <c r="K21" s="115">
        <v>890912.5</v>
      </c>
      <c r="L21" s="115">
        <v>422241.18</v>
      </c>
      <c r="M21" s="115">
        <v>391785.24</v>
      </c>
      <c r="N21" s="115">
        <v>794280.49</v>
      </c>
      <c r="O21" s="115">
        <v>310896.49</v>
      </c>
      <c r="P21" s="115">
        <v>261803.26</v>
      </c>
      <c r="Q21" s="115">
        <v>1167326.55</v>
      </c>
    </row>
    <row r="22" spans="1:19">
      <c r="A22" s="111"/>
      <c r="B22" s="113" t="s">
        <v>91</v>
      </c>
      <c r="C22" s="114">
        <v>2008</v>
      </c>
      <c r="D22" s="115">
        <v>19201.5</v>
      </c>
      <c r="E22" s="115">
        <v>19800</v>
      </c>
      <c r="F22" s="115">
        <v>2400</v>
      </c>
      <c r="G22" s="115">
        <v>1200</v>
      </c>
      <c r="H22" s="115">
        <v>1200</v>
      </c>
      <c r="I22" s="115">
        <v>2633.5</v>
      </c>
      <c r="J22" s="115">
        <v>1433.5</v>
      </c>
      <c r="K22" s="115">
        <v>1433.5</v>
      </c>
      <c r="L22" s="115">
        <v>1433.5</v>
      </c>
      <c r="M22" s="115">
        <v>1433.5</v>
      </c>
      <c r="N22" s="115">
        <v>1433.5</v>
      </c>
      <c r="O22" s="115">
        <v>1433.5</v>
      </c>
      <c r="P22" s="115">
        <v>1433.5</v>
      </c>
      <c r="Q22" s="115">
        <v>1733.5</v>
      </c>
    </row>
    <row r="23" spans="1:19" s="40" customFormat="1" ht="19.5" customHeight="1">
      <c r="A23" s="39"/>
      <c r="D23" s="41">
        <f>SUBTOTAL(9,D21:D22)</f>
        <v>6575786.3600000003</v>
      </c>
      <c r="E23" s="41">
        <f>SUBTOTAL(9,E21:E22)</f>
        <v>6994800</v>
      </c>
      <c r="F23" s="41">
        <f t="shared" ref="F23:Q23" si="5">SUBTOTAL(9,F21:F22)</f>
        <v>-9728.81</v>
      </c>
      <c r="G23" s="41">
        <f t="shared" si="5"/>
        <v>478687.92</v>
      </c>
      <c r="H23" s="41">
        <f t="shared" si="5"/>
        <v>876114.09</v>
      </c>
      <c r="I23" s="41">
        <f t="shared" si="5"/>
        <v>644271.06000000006</v>
      </c>
      <c r="J23" s="41">
        <f t="shared" si="5"/>
        <v>336861.89</v>
      </c>
      <c r="K23" s="41">
        <f t="shared" si="5"/>
        <v>892346</v>
      </c>
      <c r="L23" s="41">
        <f t="shared" si="5"/>
        <v>423674.68</v>
      </c>
      <c r="M23" s="41">
        <f t="shared" si="5"/>
        <v>393218.74</v>
      </c>
      <c r="N23" s="41">
        <f t="shared" si="5"/>
        <v>795713.99</v>
      </c>
      <c r="O23" s="41">
        <f t="shared" si="5"/>
        <v>312329.99</v>
      </c>
      <c r="P23" s="41">
        <f t="shared" si="5"/>
        <v>263236.76</v>
      </c>
      <c r="Q23" s="47">
        <f t="shared" si="5"/>
        <v>1169060.05</v>
      </c>
      <c r="R23" s="62">
        <f>SUM(F23:Q23)</f>
        <v>6575786.3600000003</v>
      </c>
      <c r="S23" s="62">
        <f>R23-D23</f>
        <v>0</v>
      </c>
    </row>
    <row r="24" spans="1:19">
      <c r="A24" s="109" t="s">
        <v>21</v>
      </c>
      <c r="B24" s="113" t="s">
        <v>92</v>
      </c>
      <c r="C24" s="114">
        <v>2008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</row>
    <row r="25" spans="1:19" s="40" customFormat="1" ht="19.5" customHeight="1">
      <c r="A25" s="39"/>
      <c r="D25" s="41">
        <f>SUBTOTAL(9,D24)</f>
        <v>0</v>
      </c>
      <c r="E25" s="41">
        <f>SUBTOTAL(9,E24)</f>
        <v>0</v>
      </c>
      <c r="F25" s="41">
        <f t="shared" ref="F25:Q25" si="6">SUBTOTAL(9,F24)</f>
        <v>0</v>
      </c>
      <c r="G25" s="41">
        <f t="shared" si="6"/>
        <v>0</v>
      </c>
      <c r="H25" s="41">
        <f t="shared" si="6"/>
        <v>0</v>
      </c>
      <c r="I25" s="41">
        <f t="shared" si="6"/>
        <v>0</v>
      </c>
      <c r="J25" s="41">
        <f t="shared" si="6"/>
        <v>0</v>
      </c>
      <c r="K25" s="41">
        <f t="shared" si="6"/>
        <v>0</v>
      </c>
      <c r="L25" s="41">
        <f t="shared" si="6"/>
        <v>0</v>
      </c>
      <c r="M25" s="41">
        <f t="shared" si="6"/>
        <v>0</v>
      </c>
      <c r="N25" s="41">
        <f t="shared" si="6"/>
        <v>0</v>
      </c>
      <c r="O25" s="41">
        <f t="shared" si="6"/>
        <v>0</v>
      </c>
      <c r="P25" s="41">
        <f t="shared" si="6"/>
        <v>0</v>
      </c>
      <c r="Q25" s="47">
        <f t="shared" si="6"/>
        <v>0</v>
      </c>
      <c r="R25" s="62">
        <f>SUM(F25:Q25)</f>
        <v>0</v>
      </c>
      <c r="S25" s="62">
        <f>R25-D25</f>
        <v>0</v>
      </c>
    </row>
    <row r="26" spans="1:19">
      <c r="A26" s="110" t="s">
        <v>19</v>
      </c>
      <c r="B26" s="113" t="s">
        <v>93</v>
      </c>
      <c r="C26" s="114">
        <v>2008</v>
      </c>
      <c r="D26" s="115">
        <v>100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100</v>
      </c>
      <c r="Q26" s="115">
        <v>0</v>
      </c>
    </row>
    <row r="27" spans="1:19">
      <c r="A27" s="112"/>
      <c r="B27" s="113" t="s">
        <v>94</v>
      </c>
      <c r="C27" s="114">
        <v>2008</v>
      </c>
      <c r="D27" s="115">
        <v>1817682.27</v>
      </c>
      <c r="E27" s="115">
        <v>450000</v>
      </c>
      <c r="F27" s="115">
        <v>6315.16</v>
      </c>
      <c r="G27" s="115">
        <v>24966.9</v>
      </c>
      <c r="H27" s="115">
        <v>43677.97</v>
      </c>
      <c r="I27" s="115">
        <v>26224.880000000001</v>
      </c>
      <c r="J27" s="115">
        <v>36114.54</v>
      </c>
      <c r="K27" s="115">
        <v>42849.41</v>
      </c>
      <c r="L27" s="115">
        <v>31064.66</v>
      </c>
      <c r="M27" s="115">
        <v>20945.2</v>
      </c>
      <c r="N27" s="115">
        <v>65348.63</v>
      </c>
      <c r="O27" s="115">
        <v>1452998.63</v>
      </c>
      <c r="P27" s="115">
        <v>22045.61</v>
      </c>
      <c r="Q27" s="115">
        <v>45130.68</v>
      </c>
    </row>
    <row r="28" spans="1:19">
      <c r="A28" s="111"/>
      <c r="B28" s="113" t="s">
        <v>95</v>
      </c>
      <c r="C28" s="114">
        <v>2008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</row>
    <row r="29" spans="1:19" s="40" customFormat="1" ht="19.5" customHeight="1">
      <c r="A29" s="39"/>
      <c r="D29" s="41">
        <f>SUBTOTAL(9,D26:D28)</f>
        <v>1817782.27</v>
      </c>
      <c r="E29" s="41">
        <f>SUBTOTAL(9,E26:E28)</f>
        <v>450000</v>
      </c>
      <c r="F29" s="41">
        <f t="shared" ref="F29:Q29" si="7">SUBTOTAL(9,F26:F28)</f>
        <v>6315.16</v>
      </c>
      <c r="G29" s="41">
        <f t="shared" si="7"/>
        <v>24966.9</v>
      </c>
      <c r="H29" s="41">
        <f t="shared" si="7"/>
        <v>43677.97</v>
      </c>
      <c r="I29" s="41">
        <f t="shared" si="7"/>
        <v>26224.880000000001</v>
      </c>
      <c r="J29" s="41">
        <f t="shared" si="7"/>
        <v>36114.54</v>
      </c>
      <c r="K29" s="41">
        <f t="shared" si="7"/>
        <v>42849.41</v>
      </c>
      <c r="L29" s="41">
        <f t="shared" si="7"/>
        <v>31064.66</v>
      </c>
      <c r="M29" s="41">
        <f t="shared" si="7"/>
        <v>20945.2</v>
      </c>
      <c r="N29" s="41">
        <f t="shared" si="7"/>
        <v>65348.63</v>
      </c>
      <c r="O29" s="41">
        <f t="shared" si="7"/>
        <v>1452998.63</v>
      </c>
      <c r="P29" s="41">
        <f t="shared" si="7"/>
        <v>22145.61</v>
      </c>
      <c r="Q29" s="47">
        <f t="shared" si="7"/>
        <v>45130.68</v>
      </c>
      <c r="R29" s="62">
        <f>SUM(F29:Q29)</f>
        <v>1817782.27</v>
      </c>
      <c r="S29" s="62">
        <f>R29-D29</f>
        <v>0</v>
      </c>
    </row>
    <row r="30" spans="1:19">
      <c r="A30" s="110" t="s">
        <v>6</v>
      </c>
      <c r="B30" s="113" t="s">
        <v>96</v>
      </c>
      <c r="C30" s="114">
        <v>2008</v>
      </c>
      <c r="D30" s="115">
        <v>19063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19063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</row>
    <row r="31" spans="1:19">
      <c r="A31" s="111"/>
      <c r="B31" s="113" t="s">
        <v>97</v>
      </c>
      <c r="C31" s="114">
        <v>2008</v>
      </c>
      <c r="D31" s="115">
        <v>222137.48</v>
      </c>
      <c r="E31" s="115">
        <v>50000</v>
      </c>
      <c r="F31" s="115">
        <v>0</v>
      </c>
      <c r="G31" s="115">
        <v>25259.26</v>
      </c>
      <c r="H31" s="115">
        <v>0</v>
      </c>
      <c r="I31" s="115">
        <v>0</v>
      </c>
      <c r="J31" s="115">
        <v>0</v>
      </c>
      <c r="K31" s="115">
        <v>48314.38</v>
      </c>
      <c r="L31" s="115">
        <v>0</v>
      </c>
      <c r="M31" s="115">
        <v>0</v>
      </c>
      <c r="N31" s="115">
        <v>0</v>
      </c>
      <c r="O31" s="115">
        <v>-35</v>
      </c>
      <c r="P31" s="115">
        <v>26998.84</v>
      </c>
      <c r="Q31" s="115">
        <v>121600</v>
      </c>
    </row>
    <row r="32" spans="1:19" s="40" customFormat="1" ht="19.5" customHeight="1">
      <c r="A32" s="52"/>
      <c r="B32" s="53"/>
      <c r="C32" s="53"/>
      <c r="D32" s="54">
        <f>SUBTOTAL(9,D30:D31)</f>
        <v>241200.48</v>
      </c>
      <c r="E32" s="54">
        <f>SUBTOTAL(9,E30:E31)</f>
        <v>50000</v>
      </c>
      <c r="F32" s="54">
        <f t="shared" ref="F32:Q32" si="8">SUBTOTAL(9,F30:F31)</f>
        <v>0</v>
      </c>
      <c r="G32" s="54">
        <f t="shared" si="8"/>
        <v>25259.26</v>
      </c>
      <c r="H32" s="54">
        <f t="shared" si="8"/>
        <v>0</v>
      </c>
      <c r="I32" s="54">
        <f t="shared" si="8"/>
        <v>0</v>
      </c>
      <c r="J32" s="54">
        <f t="shared" si="8"/>
        <v>0</v>
      </c>
      <c r="K32" s="54">
        <f t="shared" si="8"/>
        <v>48314.38</v>
      </c>
      <c r="L32" s="54">
        <f t="shared" si="8"/>
        <v>19063</v>
      </c>
      <c r="M32" s="54">
        <f t="shared" si="8"/>
        <v>0</v>
      </c>
      <c r="N32" s="54">
        <f t="shared" si="8"/>
        <v>0</v>
      </c>
      <c r="O32" s="54">
        <f t="shared" si="8"/>
        <v>-35</v>
      </c>
      <c r="P32" s="54">
        <f t="shared" si="8"/>
        <v>26998.84</v>
      </c>
      <c r="Q32" s="55">
        <f t="shared" si="8"/>
        <v>121600</v>
      </c>
      <c r="R32" s="62">
        <f>SUM(F32:Q32)</f>
        <v>241200.47999999998</v>
      </c>
      <c r="S32" s="62">
        <f>R32-D32</f>
        <v>0</v>
      </c>
    </row>
    <row r="33" spans="1:19" s="42" customFormat="1" ht="19.5" customHeight="1">
      <c r="A33" s="56"/>
      <c r="B33" s="57"/>
      <c r="C33" s="58"/>
      <c r="D33" s="59">
        <f>SUBTOTAL(9,D2:D32)</f>
        <v>148636236.79000002</v>
      </c>
      <c r="E33" s="59">
        <f>SUBTOTAL(9,E2:E32)</f>
        <v>136743194</v>
      </c>
      <c r="F33" s="59">
        <f t="shared" ref="F33:Q33" si="9">SUBTOTAL(9,F2:F32)</f>
        <v>2008533.5999999999</v>
      </c>
      <c r="G33" s="59">
        <f t="shared" si="9"/>
        <v>10433623.749999998</v>
      </c>
      <c r="H33" s="59">
        <f t="shared" si="9"/>
        <v>46305749.160000004</v>
      </c>
      <c r="I33" s="59">
        <f t="shared" si="9"/>
        <v>44653493.319999993</v>
      </c>
      <c r="J33" s="59">
        <f t="shared" si="9"/>
        <v>18790660.07</v>
      </c>
      <c r="K33" s="59">
        <f t="shared" si="9"/>
        <v>4713579.0100000007</v>
      </c>
      <c r="L33" s="59">
        <f t="shared" si="9"/>
        <v>4724303.2499999991</v>
      </c>
      <c r="M33" s="59">
        <f t="shared" si="9"/>
        <v>3057202.5700000003</v>
      </c>
      <c r="N33" s="59">
        <f t="shared" si="9"/>
        <v>2343356.3499999996</v>
      </c>
      <c r="O33" s="59">
        <f t="shared" si="9"/>
        <v>4300429.5</v>
      </c>
      <c r="P33" s="59">
        <f t="shared" si="9"/>
        <v>3401015.57</v>
      </c>
      <c r="Q33" s="60">
        <f t="shared" si="9"/>
        <v>3904290.64</v>
      </c>
      <c r="R33" s="63">
        <f>SUM(F33:Q33)</f>
        <v>148636236.78999999</v>
      </c>
      <c r="S33" s="63">
        <f>R33-D33</f>
        <v>0</v>
      </c>
    </row>
    <row r="35" spans="1:19">
      <c r="F35" s="119">
        <f>SUM(F33:H33)</f>
        <v>58747906.510000005</v>
      </c>
    </row>
  </sheetData>
  <phoneticPr fontId="12" type="noConversion"/>
  <pageMargins left="0.248" right="0.22" top="1.07" bottom="0.76400000000000001" header="0.248" footer="0.22"/>
  <pageSetup orientation="landscape" r:id="rId1"/>
  <headerFooter alignWithMargins="0">
    <oddHeader>&amp;L&amp;"Arial"&amp;10Detail Filter:  Fiscal Year  =  2008  and  Fund  =  001 &amp;C&amp;B&amp;"Times New Roman"&amp;14Collin County Actual Revenues and Original Revenue Budgets (Monthly Detail)&amp;R&amp;"Arial"&amp;8Date: 1/6/2010</oddHeader>
    <oddFooter>&amp;L&amp;C&amp;"Arial"&amp;10Page &amp;P&amp;R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workbookViewId="0">
      <selection activeCell="C6" sqref="C6"/>
    </sheetView>
  </sheetViews>
  <sheetFormatPr defaultColWidth="8" defaultRowHeight="12.75"/>
  <cols>
    <col min="1" max="1" width="7.25" style="136" bestFit="1" customWidth="1"/>
    <col min="2" max="2" width="23.375" style="136" bestFit="1" customWidth="1"/>
    <col min="3" max="5" width="13.5" style="136" bestFit="1" customWidth="1"/>
    <col min="6" max="6" width="11.625" style="136" bestFit="1" customWidth="1"/>
    <col min="7" max="7" width="12.5" style="136" bestFit="1" customWidth="1"/>
    <col min="8" max="8" width="11.625" style="136" bestFit="1" customWidth="1"/>
    <col min="9" max="10" width="12.5" style="136" bestFit="1" customWidth="1"/>
    <col min="11" max="12" width="11.625" style="136" bestFit="1" customWidth="1"/>
    <col min="13" max="14" width="12.5" style="136" bestFit="1" customWidth="1"/>
    <col min="15" max="15" width="11.625" style="136" bestFit="1" customWidth="1"/>
    <col min="16" max="17" width="12.5" style="136" bestFit="1" customWidth="1"/>
    <col min="18" max="16384" width="8" style="136"/>
  </cols>
  <sheetData>
    <row r="1" spans="1:17" s="120" customFormat="1" ht="38.25">
      <c r="A1" s="104" t="s">
        <v>103</v>
      </c>
      <c r="B1" s="104" t="s">
        <v>60</v>
      </c>
      <c r="C1" s="104" t="s">
        <v>104</v>
      </c>
      <c r="D1" s="104" t="s">
        <v>105</v>
      </c>
      <c r="E1" s="104" t="s">
        <v>106</v>
      </c>
      <c r="F1" s="104" t="s">
        <v>64</v>
      </c>
      <c r="G1" s="104" t="s">
        <v>65</v>
      </c>
      <c r="H1" s="104" t="s">
        <v>66</v>
      </c>
      <c r="I1" s="104" t="s">
        <v>67</v>
      </c>
      <c r="J1" s="104" t="s">
        <v>68</v>
      </c>
      <c r="K1" s="104" t="s">
        <v>69</v>
      </c>
      <c r="L1" s="104" t="s">
        <v>70</v>
      </c>
      <c r="M1" s="104" t="s">
        <v>71</v>
      </c>
      <c r="N1" s="104" t="s">
        <v>72</v>
      </c>
      <c r="O1" s="104" t="s">
        <v>73</v>
      </c>
      <c r="P1" s="104" t="s">
        <v>74</v>
      </c>
      <c r="Q1" s="104" t="s">
        <v>75</v>
      </c>
    </row>
    <row r="2" spans="1:17">
      <c r="A2" s="137">
        <v>80</v>
      </c>
      <c r="B2" s="138" t="s">
        <v>11</v>
      </c>
      <c r="C2" s="146">
        <v>326242</v>
      </c>
      <c r="D2" s="146">
        <v>326266</v>
      </c>
      <c r="E2" s="146">
        <v>298044.79999999999</v>
      </c>
      <c r="F2" s="146">
        <v>-6339.18</v>
      </c>
      <c r="G2" s="139">
        <v>34724.68</v>
      </c>
      <c r="H2" s="146">
        <v>16429.38</v>
      </c>
      <c r="I2" s="146">
        <v>45049.69</v>
      </c>
      <c r="J2" s="139">
        <v>28141.16</v>
      </c>
      <c r="K2" s="146">
        <v>19770.09</v>
      </c>
      <c r="L2" s="146">
        <v>19059.7</v>
      </c>
      <c r="M2" s="146">
        <v>19022.55</v>
      </c>
      <c r="N2" s="139">
        <v>23916.03</v>
      </c>
      <c r="O2" s="146">
        <v>19430.27</v>
      </c>
      <c r="P2" s="146">
        <v>31312.86</v>
      </c>
      <c r="Q2" s="147">
        <v>47527.57</v>
      </c>
    </row>
    <row r="3" spans="1:17">
      <c r="A3" s="137">
        <v>76</v>
      </c>
      <c r="B3" s="138" t="s">
        <v>8</v>
      </c>
      <c r="C3" s="146">
        <v>461110</v>
      </c>
      <c r="D3" s="146">
        <v>497765</v>
      </c>
      <c r="E3" s="146">
        <v>427877.16</v>
      </c>
      <c r="F3" s="146">
        <v>26500</v>
      </c>
      <c r="G3" s="139">
        <v>1093.96</v>
      </c>
      <c r="H3" s="146">
        <v>173409.58</v>
      </c>
      <c r="I3" s="146">
        <v>970.07</v>
      </c>
      <c r="J3" s="139">
        <v>2390.0700000000002</v>
      </c>
      <c r="K3" s="146">
        <v>100049.59</v>
      </c>
      <c r="L3" s="146">
        <v>1998.65</v>
      </c>
      <c r="M3" s="146">
        <v>2384.9899999999998</v>
      </c>
      <c r="N3" s="139">
        <v>102655.33</v>
      </c>
      <c r="O3" s="146">
        <v>4921.3599999999997</v>
      </c>
      <c r="P3" s="146">
        <v>6192.4</v>
      </c>
      <c r="Q3" s="147">
        <v>5311.16</v>
      </c>
    </row>
    <row r="4" spans="1:17">
      <c r="A4" s="137">
        <v>85</v>
      </c>
      <c r="B4" s="138" t="s">
        <v>107</v>
      </c>
      <c r="C4" s="146">
        <v>0</v>
      </c>
      <c r="D4" s="146">
        <v>0</v>
      </c>
      <c r="E4" s="146">
        <v>0</v>
      </c>
      <c r="F4" s="146">
        <v>0</v>
      </c>
      <c r="G4" s="139">
        <v>0</v>
      </c>
      <c r="H4" s="146">
        <v>0</v>
      </c>
      <c r="I4" s="146">
        <v>0</v>
      </c>
      <c r="J4" s="139">
        <v>0</v>
      </c>
      <c r="K4" s="146">
        <v>0</v>
      </c>
      <c r="L4" s="146">
        <v>0</v>
      </c>
      <c r="M4" s="146">
        <v>0</v>
      </c>
      <c r="N4" s="139">
        <v>0</v>
      </c>
      <c r="O4" s="146">
        <v>0</v>
      </c>
      <c r="P4" s="146">
        <v>0</v>
      </c>
      <c r="Q4" s="147">
        <v>0</v>
      </c>
    </row>
    <row r="5" spans="1:17">
      <c r="A5" s="137">
        <v>60</v>
      </c>
      <c r="B5" s="138" t="s">
        <v>9</v>
      </c>
      <c r="C5" s="146">
        <v>2433415</v>
      </c>
      <c r="D5" s="146">
        <v>3116351</v>
      </c>
      <c r="E5" s="146">
        <v>2877875.92</v>
      </c>
      <c r="F5" s="146">
        <v>70952.17</v>
      </c>
      <c r="G5" s="139">
        <v>230194.9</v>
      </c>
      <c r="H5" s="146">
        <v>158537.44</v>
      </c>
      <c r="I5" s="146">
        <v>564030.07999999996</v>
      </c>
      <c r="J5" s="139">
        <v>202596.2</v>
      </c>
      <c r="K5" s="146">
        <v>131396.14000000001</v>
      </c>
      <c r="L5" s="146">
        <v>265905.44</v>
      </c>
      <c r="M5" s="146">
        <v>204359.87</v>
      </c>
      <c r="N5" s="139">
        <v>227610.72</v>
      </c>
      <c r="O5" s="146">
        <v>286335.15999999997</v>
      </c>
      <c r="P5" s="146">
        <v>220640.96</v>
      </c>
      <c r="Q5" s="147">
        <v>315316.84000000003</v>
      </c>
    </row>
    <row r="6" spans="1:17">
      <c r="A6" s="137">
        <v>48</v>
      </c>
      <c r="B6" s="138" t="s">
        <v>50</v>
      </c>
      <c r="C6" s="146">
        <v>9925189</v>
      </c>
      <c r="D6" s="146">
        <v>10190881</v>
      </c>
      <c r="E6" s="146">
        <v>9715645.6400000006</v>
      </c>
      <c r="F6" s="146">
        <v>189332.41</v>
      </c>
      <c r="G6" s="139">
        <v>768098.7</v>
      </c>
      <c r="H6" s="146">
        <v>784670.51</v>
      </c>
      <c r="I6" s="146">
        <v>1717570.79</v>
      </c>
      <c r="J6" s="139">
        <v>826145.24</v>
      </c>
      <c r="K6" s="146">
        <v>811285.76</v>
      </c>
      <c r="L6" s="146">
        <v>549138.37</v>
      </c>
      <c r="M6" s="146">
        <v>525863.1</v>
      </c>
      <c r="N6" s="139">
        <v>596239.74</v>
      </c>
      <c r="O6" s="146">
        <v>782513.53</v>
      </c>
      <c r="P6" s="146">
        <v>868797.61</v>
      </c>
      <c r="Q6" s="147">
        <v>1295989.8799999999</v>
      </c>
    </row>
    <row r="7" spans="1:17">
      <c r="A7" s="137">
        <v>41</v>
      </c>
      <c r="B7" s="138" t="s">
        <v>49</v>
      </c>
      <c r="C7" s="146">
        <v>33931130</v>
      </c>
      <c r="D7" s="146">
        <v>30400731</v>
      </c>
      <c r="E7" s="146">
        <v>21719459.129999999</v>
      </c>
      <c r="F7" s="146">
        <v>613323.18000000005</v>
      </c>
      <c r="G7" s="139">
        <v>1625340.11</v>
      </c>
      <c r="H7" s="146">
        <v>1295203.33</v>
      </c>
      <c r="I7" s="146">
        <v>2130513.08</v>
      </c>
      <c r="J7" s="139">
        <v>1945921.28</v>
      </c>
      <c r="K7" s="146">
        <v>1072448.52</v>
      </c>
      <c r="L7" s="146">
        <v>1509377.91</v>
      </c>
      <c r="M7" s="146">
        <v>4010843.62</v>
      </c>
      <c r="N7" s="139">
        <v>2367906.9</v>
      </c>
      <c r="O7" s="146">
        <v>1054069.58</v>
      </c>
      <c r="P7" s="146">
        <v>1327178.6100000001</v>
      </c>
      <c r="Q7" s="147">
        <v>2767333.01</v>
      </c>
    </row>
    <row r="8" spans="1:17">
      <c r="A8" s="137">
        <v>72</v>
      </c>
      <c r="B8" s="138" t="s">
        <v>10</v>
      </c>
      <c r="C8" s="146">
        <v>10691922</v>
      </c>
      <c r="D8" s="146">
        <v>11576518</v>
      </c>
      <c r="E8" s="146">
        <v>11228455.449999999</v>
      </c>
      <c r="F8" s="146">
        <v>300754.83</v>
      </c>
      <c r="G8" s="139">
        <v>556158.76</v>
      </c>
      <c r="H8" s="146">
        <v>589175.04000000004</v>
      </c>
      <c r="I8" s="146">
        <v>1715647.98</v>
      </c>
      <c r="J8" s="139">
        <v>675521.11</v>
      </c>
      <c r="K8" s="146">
        <v>549112.86</v>
      </c>
      <c r="L8" s="146">
        <v>1536701.49</v>
      </c>
      <c r="M8" s="146">
        <v>711904.05</v>
      </c>
      <c r="N8" s="139">
        <v>1226379.95</v>
      </c>
      <c r="O8" s="146">
        <v>435179.75</v>
      </c>
      <c r="P8" s="146">
        <v>896646.83</v>
      </c>
      <c r="Q8" s="147">
        <v>2035272.8</v>
      </c>
    </row>
    <row r="9" spans="1:17">
      <c r="A9" s="137">
        <v>44</v>
      </c>
      <c r="B9" s="138" t="s">
        <v>52</v>
      </c>
      <c r="C9" s="146">
        <v>13877308</v>
      </c>
      <c r="D9" s="146">
        <v>14249804</v>
      </c>
      <c r="E9" s="146">
        <v>13713384.859999999</v>
      </c>
      <c r="F9" s="146">
        <v>229866.4</v>
      </c>
      <c r="G9" s="139">
        <v>1288239.02</v>
      </c>
      <c r="H9" s="146">
        <v>837293.07</v>
      </c>
      <c r="I9" s="146">
        <v>2396410.11</v>
      </c>
      <c r="J9" s="139">
        <v>1276555.2</v>
      </c>
      <c r="K9" s="146">
        <v>879107.39</v>
      </c>
      <c r="L9" s="146">
        <v>856774.7</v>
      </c>
      <c r="M9" s="146">
        <v>951439.15</v>
      </c>
      <c r="N9" s="139">
        <v>1004770.11</v>
      </c>
      <c r="O9" s="146">
        <v>884647.13</v>
      </c>
      <c r="P9" s="146">
        <v>1287710.1299999999</v>
      </c>
      <c r="Q9" s="147">
        <v>1820572.45</v>
      </c>
    </row>
    <row r="10" spans="1:17">
      <c r="A10" s="137">
        <v>52</v>
      </c>
      <c r="B10" s="138" t="s">
        <v>53</v>
      </c>
      <c r="C10" s="146">
        <v>10121330</v>
      </c>
      <c r="D10" s="146">
        <v>10185578</v>
      </c>
      <c r="E10" s="146">
        <v>9879428.4399999995</v>
      </c>
      <c r="F10" s="146">
        <v>191241.35</v>
      </c>
      <c r="G10" s="139">
        <v>888072.17</v>
      </c>
      <c r="H10" s="146">
        <v>615538.51</v>
      </c>
      <c r="I10" s="146">
        <v>1672976.9</v>
      </c>
      <c r="J10" s="139">
        <v>990309.33</v>
      </c>
      <c r="K10" s="146">
        <v>629658.24</v>
      </c>
      <c r="L10" s="146">
        <v>669055.15</v>
      </c>
      <c r="M10" s="146">
        <v>666854.12</v>
      </c>
      <c r="N10" s="139">
        <v>750984.61</v>
      </c>
      <c r="O10" s="146">
        <v>620432.97</v>
      </c>
      <c r="P10" s="146">
        <v>958417.77</v>
      </c>
      <c r="Q10" s="147">
        <v>1225887.32</v>
      </c>
    </row>
    <row r="11" spans="1:17">
      <c r="A11" s="137">
        <v>56</v>
      </c>
      <c r="B11" s="138" t="s">
        <v>7</v>
      </c>
      <c r="C11" s="146">
        <v>10503495</v>
      </c>
      <c r="D11" s="146">
        <v>11177385</v>
      </c>
      <c r="E11" s="146">
        <v>10422258.48</v>
      </c>
      <c r="F11" s="146">
        <v>172658.95</v>
      </c>
      <c r="G11" s="139">
        <v>1037440.2</v>
      </c>
      <c r="H11" s="146">
        <v>517639.48</v>
      </c>
      <c r="I11" s="146">
        <v>1342292.05</v>
      </c>
      <c r="J11" s="139">
        <v>915358.77</v>
      </c>
      <c r="K11" s="146">
        <v>717352.24</v>
      </c>
      <c r="L11" s="146">
        <v>1055147.5900000001</v>
      </c>
      <c r="M11" s="146">
        <v>767073.05</v>
      </c>
      <c r="N11" s="139">
        <v>544892.31000000006</v>
      </c>
      <c r="O11" s="146">
        <v>785482.23</v>
      </c>
      <c r="P11" s="146">
        <v>926373.42</v>
      </c>
      <c r="Q11" s="147">
        <v>1640548.19</v>
      </c>
    </row>
    <row r="12" spans="1:17">
      <c r="A12" s="137">
        <v>64</v>
      </c>
      <c r="B12" s="138" t="s">
        <v>51</v>
      </c>
      <c r="C12" s="146">
        <v>44214975</v>
      </c>
      <c r="D12" s="146">
        <v>44791732</v>
      </c>
      <c r="E12" s="146">
        <v>43971445.670000002</v>
      </c>
      <c r="F12" s="146">
        <v>1022639.03</v>
      </c>
      <c r="G12" s="139">
        <v>4091566.6</v>
      </c>
      <c r="H12" s="146">
        <v>2999312.95</v>
      </c>
      <c r="I12" s="146">
        <v>7575761.9199999999</v>
      </c>
      <c r="J12" s="139">
        <v>4215266.0999999996</v>
      </c>
      <c r="K12" s="146">
        <v>2860570.94</v>
      </c>
      <c r="L12" s="146">
        <v>2748697.33</v>
      </c>
      <c r="M12" s="146">
        <v>2716449.72</v>
      </c>
      <c r="N12" s="139">
        <v>3378732.35</v>
      </c>
      <c r="O12" s="146">
        <v>2870869.52</v>
      </c>
      <c r="P12" s="146">
        <v>4056479.66</v>
      </c>
      <c r="Q12" s="147">
        <v>5435099.5499999998</v>
      </c>
    </row>
    <row r="13" spans="1:17">
      <c r="A13" s="137">
        <v>68</v>
      </c>
      <c r="B13" s="138" t="s">
        <v>108</v>
      </c>
      <c r="C13" s="146">
        <v>0</v>
      </c>
      <c r="D13" s="146">
        <v>0</v>
      </c>
      <c r="E13" s="146">
        <v>0</v>
      </c>
      <c r="F13" s="146">
        <v>0</v>
      </c>
      <c r="G13" s="139">
        <v>0</v>
      </c>
      <c r="H13" s="146">
        <v>0</v>
      </c>
      <c r="I13" s="146">
        <v>0</v>
      </c>
      <c r="J13" s="139">
        <v>0</v>
      </c>
      <c r="K13" s="146">
        <v>0</v>
      </c>
      <c r="L13" s="146">
        <v>0</v>
      </c>
      <c r="M13" s="146">
        <v>0</v>
      </c>
      <c r="N13" s="139">
        <v>0</v>
      </c>
      <c r="O13" s="146">
        <v>0</v>
      </c>
      <c r="P13" s="146">
        <v>0</v>
      </c>
      <c r="Q13" s="147">
        <v>0</v>
      </c>
    </row>
    <row r="14" spans="1:17">
      <c r="A14" s="140">
        <v>88</v>
      </c>
      <c r="B14" s="141" t="s">
        <v>12</v>
      </c>
      <c r="C14" s="149">
        <v>9046853</v>
      </c>
      <c r="D14" s="146">
        <v>19089565</v>
      </c>
      <c r="E14" s="146">
        <v>18086390</v>
      </c>
      <c r="F14" s="146">
        <v>0</v>
      </c>
      <c r="G14" s="142">
        <v>0</v>
      </c>
      <c r="H14" s="146">
        <v>1000000</v>
      </c>
      <c r="I14" s="146">
        <v>7086390</v>
      </c>
      <c r="J14" s="142">
        <v>0</v>
      </c>
      <c r="K14" s="146">
        <v>0</v>
      </c>
      <c r="L14" s="146">
        <v>0</v>
      </c>
      <c r="M14" s="146">
        <v>0</v>
      </c>
      <c r="N14" s="142">
        <v>0</v>
      </c>
      <c r="O14" s="146">
        <v>0</v>
      </c>
      <c r="P14" s="146">
        <v>0</v>
      </c>
      <c r="Q14" s="147">
        <v>10000000</v>
      </c>
    </row>
    <row r="15" spans="1:17">
      <c r="A15" s="143"/>
      <c r="B15" s="144"/>
      <c r="C15" s="148">
        <f>SUBTOTAL(9,C2:C14)</f>
        <v>145532969</v>
      </c>
      <c r="D15" s="148">
        <f t="shared" ref="D15:Q15" si="0">SUBTOTAL(9,D2:D14)</f>
        <v>155602576</v>
      </c>
      <c r="E15" s="148">
        <f t="shared" si="0"/>
        <v>142340265.55000001</v>
      </c>
      <c r="F15" s="148">
        <f t="shared" si="0"/>
        <v>2810929.14</v>
      </c>
      <c r="G15" s="148">
        <f t="shared" si="0"/>
        <v>10520929.100000001</v>
      </c>
      <c r="H15" s="148">
        <f t="shared" si="0"/>
        <v>8987209.2899999991</v>
      </c>
      <c r="I15" s="148">
        <f t="shared" si="0"/>
        <v>26247612.670000002</v>
      </c>
      <c r="J15" s="148">
        <f t="shared" si="0"/>
        <v>11078204.459999999</v>
      </c>
      <c r="K15" s="148">
        <f t="shared" si="0"/>
        <v>7770751.7699999996</v>
      </c>
      <c r="L15" s="148">
        <f t="shared" si="0"/>
        <v>9211856.3300000001</v>
      </c>
      <c r="M15" s="148">
        <f t="shared" si="0"/>
        <v>10576194.220000001</v>
      </c>
      <c r="N15" s="148">
        <f t="shared" si="0"/>
        <v>10224088.050000001</v>
      </c>
      <c r="O15" s="148">
        <f t="shared" si="0"/>
        <v>7743881.5</v>
      </c>
      <c r="P15" s="148">
        <f t="shared" si="0"/>
        <v>10579750.25</v>
      </c>
      <c r="Q15" s="148">
        <f t="shared" si="0"/>
        <v>26588858.77</v>
      </c>
    </row>
    <row r="16" spans="1:17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r:id="rId1"/>
  <headerFooter alignWithMargins="0">
    <oddHeader>&amp;L&amp;B&amp;"Arial"&amp;10Fund: 1&amp;C&amp;B&amp;"Times New Roman"&amp;14Expenditure / Budget for FY2008&amp;R&amp;"Arial"&amp;8Date: 1/6/2010</oddHeader>
    <oddFooter>&amp;L&amp;C&amp;"Arial"&amp;10Page &amp;P&amp;R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5" sqref="M35"/>
    </sheetView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opLeftCell="A76" zoomScaleNormal="100" workbookViewId="0">
      <selection activeCell="P19" sqref="P1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1.25" style="2" customWidth="1"/>
    <col min="12" max="12" width="14.875" style="2" customWidth="1"/>
    <col min="13" max="13" width="10.25" style="2" customWidth="1"/>
    <col min="14" max="14" width="14" style="2" bestFit="1" customWidth="1"/>
    <col min="15" max="15" width="10.75" style="2" bestFit="1" customWidth="1"/>
    <col min="16" max="16" width="10.25" style="2" customWidth="1"/>
    <col min="17" max="17" width="11.5" style="2" customWidth="1"/>
    <col min="18" max="18" width="11.125" style="2" bestFit="1" customWidth="1"/>
    <col min="19" max="19" width="15" style="2" customWidth="1"/>
    <col min="20" max="20" width="11.875" style="2" customWidth="1"/>
    <col min="21" max="21" width="12.5" style="2" bestFit="1" customWidth="1"/>
    <col min="22" max="22" width="12.5" style="2" customWidth="1"/>
    <col min="23" max="23" width="12.5" style="2" bestFit="1" customWidth="1"/>
    <col min="24" max="24" width="11.125" style="2" bestFit="1" customWidth="1"/>
    <col min="25" max="26" width="12.625" style="2" customWidth="1"/>
    <col min="27" max="27" width="14.75" style="2" customWidth="1"/>
    <col min="28" max="28" width="14.125" style="2" customWidth="1"/>
    <col min="29" max="29" width="12.5" style="2" bestFit="1" customWidth="1"/>
    <col min="30" max="30" width="14" style="2" customWidth="1"/>
    <col min="31" max="31" width="13.375" style="2" customWidth="1"/>
    <col min="32" max="32" width="11.875" style="2" customWidth="1"/>
    <col min="33" max="33" width="12.75" style="2" customWidth="1"/>
    <col min="34" max="34" width="9" style="2"/>
    <col min="35" max="35" width="14.125" style="2" customWidth="1"/>
    <col min="36" max="36" width="9" style="2"/>
    <col min="37" max="37" width="13.5" style="2" customWidth="1"/>
    <col min="38" max="16384" width="9" style="2"/>
  </cols>
  <sheetData>
    <row r="1" spans="1:32" ht="15.95" customHeight="1">
      <c r="E1" s="3"/>
      <c r="F1" s="196" t="s">
        <v>23</v>
      </c>
    </row>
    <row r="2" spans="1:32" ht="15.95" customHeight="1">
      <c r="E2" s="3"/>
      <c r="F2" s="196" t="s">
        <v>56</v>
      </c>
    </row>
    <row r="3" spans="1:32" ht="15.95" customHeight="1">
      <c r="B3" s="202" t="s">
        <v>43</v>
      </c>
      <c r="C3" s="202"/>
      <c r="D3" s="202"/>
      <c r="E3" s="3"/>
      <c r="F3" s="196" t="s">
        <v>57</v>
      </c>
    </row>
    <row r="4" spans="1:32" ht="15.95" customHeight="1">
      <c r="E4" s="3"/>
      <c r="F4" s="196" t="s">
        <v>58</v>
      </c>
    </row>
    <row r="5" spans="1:32" ht="15.95" customHeight="1">
      <c r="E5" s="3"/>
      <c r="F5" s="196" t="s">
        <v>24</v>
      </c>
    </row>
    <row r="6" spans="1:32" ht="16.5">
      <c r="A6" s="4"/>
      <c r="B6" s="4"/>
      <c r="C6" s="4"/>
      <c r="D6" s="5"/>
      <c r="E6" s="5"/>
      <c r="F6" s="197"/>
    </row>
    <row r="7" spans="1:32" ht="15.75">
      <c r="D7" s="3"/>
      <c r="E7" s="3"/>
    </row>
    <row r="8" spans="1:32" ht="19.5" customHeight="1">
      <c r="A8" s="182" t="s">
        <v>225</v>
      </c>
      <c r="B8" s="183" t="s">
        <v>39</v>
      </c>
      <c r="C8" s="183"/>
      <c r="D8" s="183"/>
      <c r="E8" s="183"/>
      <c r="F8" s="183"/>
    </row>
    <row r="9" spans="1:32" ht="19.5" customHeight="1">
      <c r="A9" s="182" t="s">
        <v>226</v>
      </c>
      <c r="B9" s="183" t="s">
        <v>98</v>
      </c>
      <c r="C9" s="183"/>
      <c r="D9" s="183"/>
      <c r="E9" s="183"/>
      <c r="F9" s="183"/>
    </row>
    <row r="10" spans="1:32" ht="19.5" customHeight="1">
      <c r="A10" s="182" t="s">
        <v>227</v>
      </c>
      <c r="B10" s="184">
        <v>41379</v>
      </c>
      <c r="C10" s="183"/>
      <c r="D10" s="183"/>
      <c r="E10" s="183"/>
      <c r="F10" s="183"/>
    </row>
    <row r="11" spans="1:32" ht="19.5" customHeight="1">
      <c r="A11" s="182" t="s">
        <v>228</v>
      </c>
      <c r="B11" s="183" t="s">
        <v>230</v>
      </c>
      <c r="C11" s="183"/>
      <c r="D11" s="183"/>
      <c r="E11" s="183"/>
      <c r="F11" s="183"/>
    </row>
    <row r="12" spans="1:32" ht="15" customHeight="1">
      <c r="A12" s="182"/>
      <c r="B12" s="183"/>
      <c r="C12" s="183"/>
      <c r="D12" s="183"/>
      <c r="E12" s="183"/>
      <c r="F12" s="183"/>
    </row>
    <row r="13" spans="1:32" ht="9" customHeight="1">
      <c r="A13" s="203"/>
      <c r="B13" s="203"/>
      <c r="C13" s="203"/>
      <c r="D13" s="203"/>
      <c r="E13" s="203"/>
      <c r="F13" s="203"/>
    </row>
    <row r="14" spans="1:32" ht="18.75" customHeight="1">
      <c r="A14" s="204" t="s">
        <v>29</v>
      </c>
      <c r="B14" s="204"/>
      <c r="C14" s="204"/>
      <c r="D14" s="204"/>
      <c r="E14" s="204"/>
      <c r="F14" s="204"/>
    </row>
    <row r="15" spans="1:32" ht="9" customHeight="1">
      <c r="A15" s="183"/>
      <c r="B15" s="183"/>
      <c r="C15" s="183"/>
      <c r="D15" s="183"/>
      <c r="E15" s="183"/>
      <c r="F15" s="183"/>
      <c r="N15" s="134"/>
      <c r="O15" s="134"/>
      <c r="P15" s="134"/>
      <c r="Q15" s="134"/>
    </row>
    <row r="16" spans="1:32" ht="39">
      <c r="A16" s="205"/>
      <c r="B16" s="205"/>
      <c r="C16" s="185" t="s">
        <v>221</v>
      </c>
      <c r="D16" s="185" t="s">
        <v>231</v>
      </c>
      <c r="E16" s="185" t="s">
        <v>25</v>
      </c>
      <c r="F16" s="185" t="s">
        <v>232</v>
      </c>
      <c r="G16" s="10">
        <v>0.5</v>
      </c>
      <c r="H16" s="2" t="s">
        <v>44</v>
      </c>
      <c r="I16" s="10">
        <v>0.5</v>
      </c>
      <c r="K16" s="9" t="s">
        <v>221</v>
      </c>
      <c r="L16" s="9" t="s">
        <v>220</v>
      </c>
      <c r="M16" s="9">
        <v>2013</v>
      </c>
      <c r="N16" s="9" t="s">
        <v>183</v>
      </c>
      <c r="O16" s="9" t="s">
        <v>184</v>
      </c>
      <c r="P16" s="9">
        <v>2012</v>
      </c>
      <c r="Q16" s="9" t="s">
        <v>143</v>
      </c>
      <c r="R16" s="9" t="s">
        <v>195</v>
      </c>
      <c r="S16" s="9" t="s">
        <v>187</v>
      </c>
      <c r="T16" s="9">
        <v>2011</v>
      </c>
      <c r="U16" s="9" t="s">
        <v>99</v>
      </c>
      <c r="V16" s="9" t="s">
        <v>194</v>
      </c>
      <c r="W16" s="9" t="s">
        <v>142</v>
      </c>
      <c r="X16" s="9">
        <v>2010</v>
      </c>
      <c r="Y16" s="9" t="s">
        <v>1</v>
      </c>
      <c r="Z16" s="9" t="s">
        <v>125</v>
      </c>
      <c r="AA16" s="9" t="s">
        <v>113</v>
      </c>
      <c r="AB16" s="9">
        <v>2009</v>
      </c>
      <c r="AC16" s="9" t="s">
        <v>111</v>
      </c>
      <c r="AD16" s="9" t="s">
        <v>126</v>
      </c>
      <c r="AE16" s="9" t="s">
        <v>114</v>
      </c>
      <c r="AF16" s="9">
        <v>2008</v>
      </c>
    </row>
    <row r="17" spans="1:32" ht="15.75" customHeight="1">
      <c r="A17" s="201" t="s">
        <v>26</v>
      </c>
      <c r="B17" s="201"/>
      <c r="C17" s="186">
        <f>K17</f>
        <v>127714748</v>
      </c>
      <c r="D17" s="186">
        <f>L17</f>
        <v>125963794</v>
      </c>
      <c r="E17" s="187">
        <f t="shared" ref="E17:E24" si="0">(D17/C17)</f>
        <v>0.98629011897670582</v>
      </c>
      <c r="F17" s="188">
        <f t="shared" ref="F17:F23" si="1">D17-G17</f>
        <v>62106420</v>
      </c>
      <c r="G17" s="14">
        <f>C17*0.5</f>
        <v>63857374</v>
      </c>
      <c r="H17" s="15">
        <f t="shared" ref="H17:H22" si="2">C17-D17</f>
        <v>1750954</v>
      </c>
      <c r="I17" s="10">
        <v>0.5</v>
      </c>
      <c r="J17" s="21" t="str">
        <f>A17</f>
        <v>Current / Delinquent Taxes</v>
      </c>
      <c r="K17" s="176">
        <v>127714748</v>
      </c>
      <c r="L17" s="176">
        <v>125963794</v>
      </c>
      <c r="M17" s="178">
        <f>L17/K17</f>
        <v>0.98629011897670582</v>
      </c>
      <c r="N17" s="165">
        <v>124011587</v>
      </c>
      <c r="O17" s="165">
        <v>122641193</v>
      </c>
      <c r="P17" s="171">
        <v>0.98894946808478468</v>
      </c>
      <c r="Q17" s="161">
        <v>130863490</v>
      </c>
      <c r="R17" s="161">
        <v>127900195</v>
      </c>
      <c r="S17" s="161">
        <v>131364776</v>
      </c>
      <c r="T17" s="12">
        <v>0.97362625579325768</v>
      </c>
      <c r="U17" s="11">
        <v>130450730</v>
      </c>
      <c r="V17" s="11">
        <v>125779425.78</v>
      </c>
      <c r="W17" s="166">
        <v>130271144</v>
      </c>
      <c r="X17" s="12">
        <v>0.96552023662277808</v>
      </c>
      <c r="Y17" s="11">
        <v>119221816</v>
      </c>
      <c r="Z17" s="11">
        <v>115778667.43000001</v>
      </c>
      <c r="AA17" s="11">
        <v>119981009</v>
      </c>
      <c r="AB17" s="12">
        <v>0.96497494390966498</v>
      </c>
      <c r="AC17" s="11">
        <v>106565989</v>
      </c>
      <c r="AD17" s="11">
        <v>112515307.53000002</v>
      </c>
      <c r="AE17" s="11">
        <v>117399101.34999999</v>
      </c>
      <c r="AF17" s="12">
        <v>0.95840007492527557</v>
      </c>
    </row>
    <row r="18" spans="1:32" ht="15.75" customHeight="1">
      <c r="A18" s="201" t="s">
        <v>102</v>
      </c>
      <c r="B18" s="201"/>
      <c r="C18" s="189">
        <f t="shared" ref="C18:D23" si="3">K18</f>
        <v>279000</v>
      </c>
      <c r="D18" s="189">
        <f t="shared" si="3"/>
        <v>88909</v>
      </c>
      <c r="E18" s="187">
        <f>(D18/C18)</f>
        <v>0.31867025089605733</v>
      </c>
      <c r="F18" s="189">
        <f>D18-G18</f>
        <v>-50591</v>
      </c>
      <c r="G18" s="14">
        <f t="shared" ref="G18:G24" si="4">C18*0.5</f>
        <v>139500</v>
      </c>
      <c r="H18" s="15">
        <f t="shared" si="2"/>
        <v>190091</v>
      </c>
      <c r="I18" s="10">
        <v>0.5</v>
      </c>
      <c r="J18" s="21" t="str">
        <f t="shared" ref="J18:J23" si="5">A18</f>
        <v>License / Permits</v>
      </c>
      <c r="K18" s="176">
        <v>279000</v>
      </c>
      <c r="L18" s="176">
        <f>3225+85684</f>
        <v>88909</v>
      </c>
      <c r="M18" s="178">
        <f t="shared" ref="M18:M24" si="6">L18/K18</f>
        <v>0.31867025089605733</v>
      </c>
      <c r="N18" s="165">
        <v>4000</v>
      </c>
      <c r="O18" s="165">
        <v>3500</v>
      </c>
      <c r="P18" s="171">
        <v>0.875</v>
      </c>
      <c r="Q18" s="161">
        <v>4000</v>
      </c>
      <c r="R18" s="161">
        <v>3500</v>
      </c>
      <c r="S18" s="161">
        <v>6000</v>
      </c>
      <c r="T18" s="12">
        <v>0.58333333333333337</v>
      </c>
      <c r="U18" s="16">
        <v>4000</v>
      </c>
      <c r="V18" s="28">
        <v>1500</v>
      </c>
      <c r="W18" s="165">
        <v>2500</v>
      </c>
      <c r="X18" s="12">
        <v>0.6</v>
      </c>
      <c r="Y18" s="28">
        <v>4000</v>
      </c>
      <c r="Z18" s="28">
        <v>2500</v>
      </c>
      <c r="AA18" s="28">
        <v>4000</v>
      </c>
      <c r="AB18" s="12">
        <v>0.625</v>
      </c>
      <c r="AC18" s="28">
        <v>4200</v>
      </c>
      <c r="AD18" s="28">
        <v>2500</v>
      </c>
      <c r="AE18" s="28">
        <v>4000</v>
      </c>
      <c r="AF18" s="12">
        <v>0.625</v>
      </c>
    </row>
    <row r="19" spans="1:32" ht="15.75" customHeight="1">
      <c r="A19" s="201" t="s">
        <v>55</v>
      </c>
      <c r="B19" s="201"/>
      <c r="C19" s="189">
        <f t="shared" si="3"/>
        <v>3825422</v>
      </c>
      <c r="D19" s="189">
        <f t="shared" si="3"/>
        <v>1549843</v>
      </c>
      <c r="E19" s="187">
        <f t="shared" si="0"/>
        <v>0.40514301428705118</v>
      </c>
      <c r="F19" s="189">
        <f t="shared" si="1"/>
        <v>-362868</v>
      </c>
      <c r="G19" s="14">
        <f t="shared" si="4"/>
        <v>1912711</v>
      </c>
      <c r="H19" s="27">
        <f t="shared" si="2"/>
        <v>2275579</v>
      </c>
      <c r="I19" s="10">
        <v>0.5</v>
      </c>
      <c r="J19" s="21" t="str">
        <f t="shared" si="5"/>
        <v>Intergovernmental Revenue</v>
      </c>
      <c r="K19" s="176">
        <v>3825422</v>
      </c>
      <c r="L19" s="176">
        <f>16600+89981+883119+560143</f>
        <v>1549843</v>
      </c>
      <c r="M19" s="178">
        <f t="shared" si="6"/>
        <v>0.40514301428705118</v>
      </c>
      <c r="N19" s="165">
        <v>3186800</v>
      </c>
      <c r="O19" s="165">
        <v>2077042</v>
      </c>
      <c r="P19" s="171">
        <v>0.65176415212752603</v>
      </c>
      <c r="Q19" s="161">
        <v>3312377</v>
      </c>
      <c r="R19" s="161">
        <v>1320347</v>
      </c>
      <c r="S19" s="161">
        <v>3356039</v>
      </c>
      <c r="T19" s="12">
        <v>0.39342421229312291</v>
      </c>
      <c r="U19" s="16">
        <v>3547135</v>
      </c>
      <c r="V19" s="28">
        <v>924045.65999999992</v>
      </c>
      <c r="W19" s="165">
        <v>3908666</v>
      </c>
      <c r="X19" s="12">
        <v>0.23640947064804205</v>
      </c>
      <c r="Y19" s="28">
        <v>3678780</v>
      </c>
      <c r="Z19" s="28">
        <v>1118300.8699999999</v>
      </c>
      <c r="AA19" s="28">
        <v>3992954.02</v>
      </c>
      <c r="AB19" s="12">
        <v>0.28006855686257059</v>
      </c>
      <c r="AC19" s="28">
        <v>3079080</v>
      </c>
      <c r="AD19" s="28">
        <v>1231502.01</v>
      </c>
      <c r="AE19" s="28">
        <v>3979230.29</v>
      </c>
      <c r="AF19" s="12">
        <v>0.30948246777645028</v>
      </c>
    </row>
    <row r="20" spans="1:32" ht="15.75" customHeight="1">
      <c r="A20" s="201" t="s">
        <v>2</v>
      </c>
      <c r="B20" s="201"/>
      <c r="C20" s="189">
        <f t="shared" si="3"/>
        <v>18262850</v>
      </c>
      <c r="D20" s="189">
        <f t="shared" si="3"/>
        <v>8900206</v>
      </c>
      <c r="E20" s="187">
        <f t="shared" si="0"/>
        <v>0.4873393802172169</v>
      </c>
      <c r="F20" s="189">
        <f t="shared" si="1"/>
        <v>-231219</v>
      </c>
      <c r="G20" s="14">
        <f t="shared" si="4"/>
        <v>9131425</v>
      </c>
      <c r="H20" s="27">
        <f t="shared" si="2"/>
        <v>9362644</v>
      </c>
      <c r="I20" s="10">
        <v>0.5</v>
      </c>
      <c r="J20" s="21" t="str">
        <f t="shared" si="5"/>
        <v>Fees/Charges for Services</v>
      </c>
      <c r="K20" s="176">
        <v>18262850</v>
      </c>
      <c r="L20" s="176">
        <f>3020956+2345153+3281917+12280+239900</f>
        <v>8900206</v>
      </c>
      <c r="M20" s="178">
        <f t="shared" si="6"/>
        <v>0.4873393802172169</v>
      </c>
      <c r="N20" s="165">
        <v>16144661</v>
      </c>
      <c r="O20" s="165">
        <v>8666469</v>
      </c>
      <c r="P20" s="171">
        <v>0.53680092756360753</v>
      </c>
      <c r="Q20" s="161">
        <v>15205012</v>
      </c>
      <c r="R20" s="161">
        <v>8242187</v>
      </c>
      <c r="S20" s="161">
        <v>15750927</v>
      </c>
      <c r="T20" s="12">
        <v>0.52328266139510393</v>
      </c>
      <c r="U20" s="16">
        <v>16957104</v>
      </c>
      <c r="V20" s="28">
        <v>6279401.1600000001</v>
      </c>
      <c r="W20" s="165">
        <v>15217085</v>
      </c>
      <c r="X20" s="12">
        <v>0.41265466809181917</v>
      </c>
      <c r="Y20" s="28">
        <v>19143500</v>
      </c>
      <c r="Z20" s="28">
        <v>7820701.9600000009</v>
      </c>
      <c r="AA20" s="28">
        <v>15850676.109999999</v>
      </c>
      <c r="AB20" s="12">
        <v>0.49339863522074084</v>
      </c>
      <c r="AC20" s="28">
        <v>16631625</v>
      </c>
      <c r="AD20" s="28">
        <v>8448283.6899999995</v>
      </c>
      <c r="AE20" s="28">
        <v>15930660.34</v>
      </c>
      <c r="AF20" s="12">
        <v>0.53031597621771898</v>
      </c>
    </row>
    <row r="21" spans="1:32" ht="15.75" customHeight="1">
      <c r="A21" s="201" t="s">
        <v>4</v>
      </c>
      <c r="B21" s="201"/>
      <c r="C21" s="189">
        <f t="shared" si="3"/>
        <v>1962155</v>
      </c>
      <c r="D21" s="189">
        <f t="shared" si="3"/>
        <v>1163745</v>
      </c>
      <c r="E21" s="187">
        <f t="shared" si="0"/>
        <v>0.59309534669789088</v>
      </c>
      <c r="F21" s="189">
        <f t="shared" si="1"/>
        <v>182667.5</v>
      </c>
      <c r="G21" s="14">
        <f t="shared" si="4"/>
        <v>981077.5</v>
      </c>
      <c r="H21" s="27">
        <f t="shared" si="2"/>
        <v>798410</v>
      </c>
      <c r="I21" s="10">
        <v>0.5</v>
      </c>
      <c r="J21" s="21" t="str">
        <f t="shared" si="5"/>
        <v>Fines</v>
      </c>
      <c r="K21" s="176">
        <v>1962155</v>
      </c>
      <c r="L21" s="176">
        <v>1163745</v>
      </c>
      <c r="M21" s="178">
        <f t="shared" si="6"/>
        <v>0.59309534669789088</v>
      </c>
      <c r="N21" s="165">
        <v>1881000</v>
      </c>
      <c r="O21" s="165">
        <v>1022129</v>
      </c>
      <c r="P21" s="171">
        <v>0.54339659755449232</v>
      </c>
      <c r="Q21" s="161">
        <v>1748000</v>
      </c>
      <c r="R21" s="161">
        <v>961337</v>
      </c>
      <c r="S21" s="161">
        <v>1992671</v>
      </c>
      <c r="T21" s="12">
        <v>0.48243638814435497</v>
      </c>
      <c r="U21" s="16">
        <v>2301020</v>
      </c>
      <c r="V21" s="28">
        <v>699335.52</v>
      </c>
      <c r="W21" s="165">
        <v>1821451</v>
      </c>
      <c r="X21" s="12">
        <v>0.38394418515787687</v>
      </c>
      <c r="Y21" s="28">
        <v>2771000</v>
      </c>
      <c r="Z21" s="28">
        <v>1071708.48</v>
      </c>
      <c r="AA21" s="28">
        <v>2270389.13</v>
      </c>
      <c r="AB21" s="12">
        <v>0.47203735511189665</v>
      </c>
      <c r="AC21" s="28">
        <v>2967500</v>
      </c>
      <c r="AD21" s="28">
        <v>1235771.03</v>
      </c>
      <c r="AE21" s="28">
        <v>2688475.7</v>
      </c>
      <c r="AF21" s="12">
        <v>0.45965490035859352</v>
      </c>
    </row>
    <row r="22" spans="1:32" ht="15.75" customHeight="1">
      <c r="A22" s="201" t="s">
        <v>3</v>
      </c>
      <c r="B22" s="201"/>
      <c r="C22" s="189">
        <f t="shared" si="3"/>
        <v>1536481</v>
      </c>
      <c r="D22" s="189">
        <f t="shared" si="3"/>
        <v>239694</v>
      </c>
      <c r="E22" s="187">
        <f t="shared" si="0"/>
        <v>0.15600192908340552</v>
      </c>
      <c r="F22" s="189">
        <f t="shared" si="1"/>
        <v>-528546.5</v>
      </c>
      <c r="G22" s="14">
        <f t="shared" si="4"/>
        <v>768240.5</v>
      </c>
      <c r="H22" s="27">
        <f t="shared" si="2"/>
        <v>1296787</v>
      </c>
      <c r="I22" s="10">
        <v>0.5</v>
      </c>
      <c r="J22" s="21" t="str">
        <f t="shared" si="5"/>
        <v>Investment Revenue</v>
      </c>
      <c r="K22" s="176">
        <v>1536481</v>
      </c>
      <c r="L22" s="176">
        <f>114761+124933</f>
        <v>239694</v>
      </c>
      <c r="M22" s="178">
        <f t="shared" si="6"/>
        <v>0.15600192908340552</v>
      </c>
      <c r="N22" s="165">
        <v>2019600</v>
      </c>
      <c r="O22" s="165">
        <v>623318</v>
      </c>
      <c r="P22" s="171">
        <v>0.30863438304614776</v>
      </c>
      <c r="Q22" s="161">
        <v>1119600</v>
      </c>
      <c r="R22" s="161">
        <v>699281</v>
      </c>
      <c r="S22" s="161">
        <v>2040386</v>
      </c>
      <c r="T22" s="12">
        <v>0.34271995592990739</v>
      </c>
      <c r="U22" s="16">
        <v>3133290</v>
      </c>
      <c r="V22" s="28">
        <v>454566.44</v>
      </c>
      <c r="W22" s="165">
        <v>2192285</v>
      </c>
      <c r="X22" s="12">
        <v>0.20734824167478225</v>
      </c>
      <c r="Y22" s="28">
        <v>5168400</v>
      </c>
      <c r="Z22" s="28">
        <v>1650946.07</v>
      </c>
      <c r="AA22" s="28">
        <v>3458264</v>
      </c>
      <c r="AB22" s="12">
        <v>0.47739156698274049</v>
      </c>
      <c r="AC22" s="28">
        <v>6994800</v>
      </c>
      <c r="AD22" s="28">
        <v>3218552.15</v>
      </c>
      <c r="AE22" s="28">
        <v>6575786.3600000003</v>
      </c>
      <c r="AF22" s="12">
        <v>0.48945509689581823</v>
      </c>
    </row>
    <row r="23" spans="1:32" ht="15.75" customHeight="1" thickBot="1">
      <c r="A23" s="201" t="s">
        <v>27</v>
      </c>
      <c r="B23" s="201"/>
      <c r="C23" s="189">
        <f t="shared" si="3"/>
        <v>526000</v>
      </c>
      <c r="D23" s="189">
        <f t="shared" si="3"/>
        <v>677594</v>
      </c>
      <c r="E23" s="187">
        <f t="shared" si="0"/>
        <v>1.2882015209125475</v>
      </c>
      <c r="F23" s="189">
        <f t="shared" si="1"/>
        <v>414594</v>
      </c>
      <c r="G23" s="14">
        <f t="shared" si="4"/>
        <v>263000</v>
      </c>
      <c r="H23" s="27">
        <v>0</v>
      </c>
      <c r="I23" s="10">
        <v>0.5</v>
      </c>
      <c r="J23" s="21" t="str">
        <f t="shared" si="5"/>
        <v>Miscellaneous</v>
      </c>
      <c r="K23" s="177">
        <v>526000</v>
      </c>
      <c r="L23" s="177">
        <f>590591+79506+7497</f>
        <v>677594</v>
      </c>
      <c r="M23" s="179">
        <f t="shared" si="6"/>
        <v>1.2882015209125475</v>
      </c>
      <c r="N23" s="167">
        <v>547000</v>
      </c>
      <c r="O23" s="167">
        <v>350726</v>
      </c>
      <c r="P23" s="174">
        <v>0.64118098720292505</v>
      </c>
      <c r="Q23" s="162">
        <v>463840</v>
      </c>
      <c r="R23" s="162">
        <v>461974</v>
      </c>
      <c r="S23" s="162">
        <v>762334</v>
      </c>
      <c r="T23" s="152">
        <v>0.60599947004856136</v>
      </c>
      <c r="U23" s="117">
        <v>564135</v>
      </c>
      <c r="V23" s="118">
        <v>346466.67</v>
      </c>
      <c r="W23" s="167">
        <v>794399</v>
      </c>
      <c r="X23" s="152">
        <v>0.43613684055493523</v>
      </c>
      <c r="Y23" s="118">
        <v>499810</v>
      </c>
      <c r="Z23" s="118">
        <v>341593.39</v>
      </c>
      <c r="AA23" s="118">
        <v>1039441</v>
      </c>
      <c r="AB23" s="152">
        <v>0.32863182229679222</v>
      </c>
      <c r="AC23" s="118">
        <v>500000</v>
      </c>
      <c r="AD23" s="118">
        <v>253722.50000000003</v>
      </c>
      <c r="AE23" s="118">
        <v>2058982.75</v>
      </c>
      <c r="AF23" s="152">
        <v>0.12322711300033963</v>
      </c>
    </row>
    <row r="24" spans="1:32" ht="15.75" customHeight="1" thickBot="1">
      <c r="A24" s="208" t="s">
        <v>28</v>
      </c>
      <c r="B24" s="208"/>
      <c r="C24" s="186">
        <f>SUM(C17:C23)</f>
        <v>154106656</v>
      </c>
      <c r="D24" s="186">
        <f>SUM(D17:D23)</f>
        <v>138583785</v>
      </c>
      <c r="E24" s="187">
        <f t="shared" si="0"/>
        <v>0.89927189776929561</v>
      </c>
      <c r="F24" s="190">
        <f>SUM(F17:F23)</f>
        <v>61530457</v>
      </c>
      <c r="G24" s="14">
        <f t="shared" si="4"/>
        <v>77053328</v>
      </c>
      <c r="H24" s="27"/>
      <c r="J24" s="21"/>
      <c r="K24" s="172">
        <f>SUM(K17:K23)</f>
        <v>154106656</v>
      </c>
      <c r="L24" s="172">
        <f>SUM(L17:L23)</f>
        <v>138583785</v>
      </c>
      <c r="M24" s="180">
        <f t="shared" si="6"/>
        <v>0.89927189776929561</v>
      </c>
      <c r="N24" s="172">
        <v>147794648</v>
      </c>
      <c r="O24" s="172">
        <v>135384377</v>
      </c>
      <c r="P24" s="173">
        <v>0.9160303084858662</v>
      </c>
      <c r="Q24" s="164">
        <v>152716319</v>
      </c>
      <c r="R24" s="160">
        <v>139588821</v>
      </c>
      <c r="S24" s="160">
        <v>155273133</v>
      </c>
      <c r="T24" s="153">
        <v>0.89898888689262169</v>
      </c>
      <c r="U24" s="116">
        <v>156957414</v>
      </c>
      <c r="V24" s="116">
        <v>134484741.22999999</v>
      </c>
      <c r="W24" s="116">
        <v>154207530</v>
      </c>
      <c r="X24" s="153">
        <v>0.87210229766341496</v>
      </c>
      <c r="Y24" s="116">
        <v>150487306</v>
      </c>
      <c r="Z24" s="116">
        <v>127784418.20000002</v>
      </c>
      <c r="AA24" s="116">
        <v>146596733.25999999</v>
      </c>
      <c r="AB24" s="153">
        <v>0.87167302680179815</v>
      </c>
      <c r="AC24" s="116">
        <v>136743194</v>
      </c>
      <c r="AD24" s="116">
        <v>126905638.91000003</v>
      </c>
      <c r="AE24" s="116">
        <v>148636236.78999999</v>
      </c>
      <c r="AF24" s="153">
        <v>0.85380013414426026</v>
      </c>
    </row>
    <row r="25" spans="1:32" ht="22.5" customHeight="1" thickTop="1">
      <c r="A25" s="183"/>
      <c r="B25" s="183"/>
      <c r="C25" s="183"/>
      <c r="D25" s="183"/>
      <c r="E25" s="183"/>
      <c r="F25" s="183"/>
      <c r="J25" s="21"/>
      <c r="K25" s="21"/>
      <c r="L25" s="21"/>
      <c r="M25" s="21"/>
      <c r="N25" s="26"/>
    </row>
    <row r="26" spans="1:32" ht="15.75">
      <c r="A26" s="183"/>
      <c r="B26" s="183"/>
      <c r="C26" s="183"/>
      <c r="D26" s="183"/>
      <c r="E26" s="183"/>
      <c r="F26" s="183"/>
      <c r="J26" s="21"/>
      <c r="K26" s="21"/>
      <c r="L26" s="21"/>
      <c r="M26" s="21"/>
      <c r="N26" s="26"/>
    </row>
    <row r="27" spans="1:32" ht="15.75">
      <c r="A27" s="183"/>
      <c r="B27" s="183"/>
      <c r="C27" s="183"/>
      <c r="D27" s="183"/>
      <c r="E27" s="183"/>
      <c r="F27" s="183"/>
    </row>
    <row r="28" spans="1:32" ht="15.75">
      <c r="A28" s="183"/>
      <c r="B28" s="183"/>
      <c r="C28" s="183"/>
      <c r="D28" s="183"/>
      <c r="E28" s="183"/>
      <c r="F28" s="183"/>
    </row>
    <row r="29" spans="1:32" ht="15.75">
      <c r="A29" s="183"/>
      <c r="B29" s="183"/>
      <c r="C29" s="183"/>
      <c r="D29" s="183"/>
      <c r="E29" s="183"/>
      <c r="F29" s="183"/>
    </row>
    <row r="30" spans="1:32" ht="15.75">
      <c r="A30" s="183"/>
      <c r="B30" s="183"/>
      <c r="C30" s="183"/>
      <c r="D30" s="183"/>
      <c r="E30" s="183"/>
      <c r="F30" s="183"/>
    </row>
    <row r="31" spans="1:32" ht="15.75">
      <c r="A31" s="183"/>
      <c r="B31" s="183"/>
      <c r="C31" s="183"/>
      <c r="D31" s="183"/>
      <c r="E31" s="183"/>
      <c r="F31" s="183"/>
      <c r="H31" s="15"/>
    </row>
    <row r="32" spans="1:32" ht="15.75">
      <c r="A32" s="183"/>
      <c r="B32" s="183"/>
      <c r="C32" s="183"/>
      <c r="D32" s="183"/>
      <c r="E32" s="183"/>
      <c r="F32" s="183"/>
      <c r="H32" s="14"/>
    </row>
    <row r="33" spans="1:37" ht="15.75">
      <c r="A33" s="183"/>
      <c r="B33" s="183"/>
      <c r="C33" s="183"/>
      <c r="D33" s="183"/>
      <c r="E33" s="183"/>
      <c r="F33" s="183"/>
    </row>
    <row r="34" spans="1:37" ht="15.75">
      <c r="A34" s="183"/>
      <c r="B34" s="183"/>
      <c r="C34" s="183"/>
      <c r="D34" s="183"/>
      <c r="E34" s="183"/>
      <c r="F34" s="183"/>
    </row>
    <row r="35" spans="1:37" ht="15.75">
      <c r="A35" s="183"/>
      <c r="B35" s="183"/>
      <c r="C35" s="183"/>
      <c r="D35" s="183"/>
      <c r="E35" s="183"/>
      <c r="F35" s="183"/>
    </row>
    <row r="36" spans="1:37" ht="15.75">
      <c r="A36" s="183"/>
      <c r="B36" s="183"/>
      <c r="C36" s="183"/>
      <c r="D36" s="183"/>
      <c r="E36" s="183"/>
      <c r="F36" s="183"/>
    </row>
    <row r="37" spans="1:37" ht="15.75">
      <c r="A37" s="183"/>
      <c r="B37" s="183"/>
      <c r="C37" s="183"/>
      <c r="D37" s="183"/>
      <c r="E37" s="183"/>
      <c r="F37" s="183"/>
    </row>
    <row r="38" spans="1:37" ht="15.75">
      <c r="A38" s="183"/>
      <c r="B38" s="183"/>
      <c r="C38" s="183"/>
      <c r="D38" s="183"/>
      <c r="E38" s="183"/>
      <c r="F38" s="183"/>
    </row>
    <row r="39" spans="1:37" ht="15.75">
      <c r="A39" s="183"/>
      <c r="B39" s="183"/>
      <c r="C39" s="183"/>
      <c r="D39" s="183"/>
      <c r="E39" s="183"/>
      <c r="F39" s="183"/>
    </row>
    <row r="40" spans="1:37" ht="15.75">
      <c r="A40" s="183"/>
      <c r="B40" s="183"/>
      <c r="C40" s="183"/>
      <c r="D40" s="183"/>
      <c r="E40" s="183"/>
      <c r="F40" s="183"/>
      <c r="J40" s="135"/>
      <c r="K40" s="135"/>
      <c r="L40" s="135"/>
      <c r="M40" s="135"/>
      <c r="N40" s="135"/>
    </row>
    <row r="41" spans="1:37" ht="15.75">
      <c r="A41" s="183"/>
      <c r="B41" s="183"/>
      <c r="C41" s="183"/>
      <c r="D41" s="183"/>
      <c r="E41" s="183"/>
      <c r="F41" s="183"/>
      <c r="J41" s="135"/>
      <c r="K41" s="135"/>
      <c r="L41" s="135"/>
      <c r="M41" s="135"/>
      <c r="N41" s="135"/>
    </row>
    <row r="42" spans="1:37" ht="15.75">
      <c r="A42" s="183"/>
      <c r="B42" s="183"/>
      <c r="C42" s="183"/>
      <c r="D42" s="183"/>
      <c r="E42" s="183"/>
      <c r="F42" s="183"/>
      <c r="J42" s="135"/>
      <c r="K42" s="135"/>
      <c r="L42" s="135"/>
      <c r="M42" s="135"/>
      <c r="N42" s="135"/>
    </row>
    <row r="43" spans="1:37" ht="15.75">
      <c r="A43" s="183"/>
      <c r="B43" s="183"/>
      <c r="C43" s="183"/>
      <c r="D43" s="183"/>
      <c r="E43" s="183"/>
      <c r="F43" s="183"/>
      <c r="J43" s="135"/>
      <c r="K43" s="135"/>
      <c r="L43" s="135"/>
      <c r="M43" s="135"/>
      <c r="N43" s="135"/>
    </row>
    <row r="44" spans="1:37" ht="15.75">
      <c r="A44" s="183"/>
      <c r="B44" s="183"/>
      <c r="C44" s="183"/>
      <c r="D44" s="183"/>
      <c r="E44" s="183"/>
      <c r="F44" s="183"/>
      <c r="J44" s="135"/>
      <c r="K44" s="135"/>
      <c r="L44" s="135"/>
      <c r="M44" s="135"/>
      <c r="N44" s="135"/>
    </row>
    <row r="45" spans="1:37" ht="15.75">
      <c r="A45" s="183"/>
      <c r="B45" s="183"/>
      <c r="C45" s="183"/>
      <c r="D45" s="183"/>
      <c r="E45" s="183"/>
      <c r="F45" s="183"/>
      <c r="J45" s="135"/>
      <c r="K45" s="135"/>
      <c r="L45" s="135"/>
      <c r="M45" s="135"/>
      <c r="N45" s="135"/>
    </row>
    <row r="46" spans="1:37" ht="33" customHeight="1">
      <c r="A46" s="204" t="s">
        <v>37</v>
      </c>
      <c r="B46" s="204"/>
      <c r="C46" s="204"/>
      <c r="D46" s="204"/>
      <c r="E46" s="204"/>
      <c r="F46" s="204"/>
      <c r="J46" s="135"/>
      <c r="K46" s="135"/>
      <c r="L46" s="135"/>
      <c r="M46" s="135"/>
      <c r="N46" s="135"/>
    </row>
    <row r="47" spans="1:37" ht="12" customHeight="1">
      <c r="A47" s="183"/>
      <c r="B47" s="181"/>
      <c r="C47" s="181"/>
      <c r="D47" s="181"/>
      <c r="E47" s="181"/>
      <c r="F47" s="183"/>
      <c r="J47" s="135"/>
      <c r="K47" s="135"/>
      <c r="L47" s="135"/>
      <c r="M47" s="135"/>
      <c r="N47" s="135"/>
    </row>
    <row r="48" spans="1:37" ht="36" customHeight="1">
      <c r="A48" s="209"/>
      <c r="B48" s="209"/>
      <c r="C48" s="198" t="s">
        <v>221</v>
      </c>
      <c r="D48" s="198" t="s">
        <v>233</v>
      </c>
      <c r="E48" s="198" t="s">
        <v>25</v>
      </c>
      <c r="F48" s="185" t="s">
        <v>232</v>
      </c>
      <c r="G48" s="10">
        <v>0.5</v>
      </c>
      <c r="H48" s="2" t="s">
        <v>45</v>
      </c>
      <c r="K48" s="154" t="s">
        <v>221</v>
      </c>
      <c r="L48" s="150" t="s">
        <v>234</v>
      </c>
      <c r="M48" s="151">
        <v>2013</v>
      </c>
      <c r="N48" s="154" t="s">
        <v>183</v>
      </c>
      <c r="O48" s="150" t="s">
        <v>196</v>
      </c>
      <c r="P48" s="151">
        <v>2012</v>
      </c>
      <c r="Q48" s="150" t="s">
        <v>189</v>
      </c>
      <c r="R48" s="154" t="s">
        <v>143</v>
      </c>
      <c r="S48" s="150" t="s">
        <v>197</v>
      </c>
      <c r="T48" s="151">
        <v>2011</v>
      </c>
      <c r="U48" s="150" t="s">
        <v>147</v>
      </c>
      <c r="V48" s="154" t="s">
        <v>99</v>
      </c>
      <c r="W48" s="150" t="s">
        <v>198</v>
      </c>
      <c r="X48" s="151">
        <v>2010</v>
      </c>
      <c r="Y48" s="150" t="s">
        <v>116</v>
      </c>
      <c r="Z48" s="150" t="s">
        <v>1</v>
      </c>
      <c r="AA48" s="150" t="s">
        <v>127</v>
      </c>
      <c r="AB48" s="151">
        <v>2009</v>
      </c>
      <c r="AC48" s="150" t="s">
        <v>118</v>
      </c>
      <c r="AD48" s="150">
        <v>2009</v>
      </c>
      <c r="AE48" s="150" t="s">
        <v>119</v>
      </c>
      <c r="AF48" s="150" t="s">
        <v>111</v>
      </c>
      <c r="AG48" s="150" t="s">
        <v>199</v>
      </c>
      <c r="AH48" s="151">
        <v>2008</v>
      </c>
      <c r="AI48" s="150" t="s">
        <v>121</v>
      </c>
      <c r="AJ48" s="150">
        <v>2008</v>
      </c>
      <c r="AK48" s="150" t="s">
        <v>122</v>
      </c>
    </row>
    <row r="49" spans="1:37" ht="15.75" customHeight="1">
      <c r="A49" s="206" t="s">
        <v>30</v>
      </c>
      <c r="B49" s="207"/>
      <c r="C49" s="186">
        <f>K49</f>
        <v>262787</v>
      </c>
      <c r="D49" s="186">
        <f>L49</f>
        <v>109459</v>
      </c>
      <c r="E49" s="187">
        <f t="shared" ref="E49:E60" si="7">(D49/C49)</f>
        <v>0.4165312591566554</v>
      </c>
      <c r="F49" s="186">
        <f>+G49-D49</f>
        <v>21934.5</v>
      </c>
      <c r="G49" s="23">
        <f>C49*0.5</f>
        <v>131393.5</v>
      </c>
      <c r="H49" s="24">
        <f t="shared" ref="H49:H57" si="8">C49-D49</f>
        <v>153328</v>
      </c>
      <c r="I49" s="1">
        <v>0.5</v>
      </c>
      <c r="J49" s="135" t="s">
        <v>30</v>
      </c>
      <c r="K49" s="13">
        <v>262787</v>
      </c>
      <c r="L49" s="13">
        <v>109459</v>
      </c>
      <c r="M49" s="155">
        <f t="shared" ref="M49:M60" si="9">(L49/K49)</f>
        <v>0.4165312591566554</v>
      </c>
      <c r="N49" s="13">
        <v>260248</v>
      </c>
      <c r="O49" s="13">
        <v>132819</v>
      </c>
      <c r="P49" s="155">
        <v>0.51035550705480925</v>
      </c>
      <c r="Q49" s="13">
        <v>127429</v>
      </c>
      <c r="R49" s="13">
        <v>315395</v>
      </c>
      <c r="S49" s="13">
        <v>139650</v>
      </c>
      <c r="T49" s="155">
        <v>0.44277810364780673</v>
      </c>
      <c r="U49" s="13">
        <v>175745</v>
      </c>
      <c r="V49" s="13">
        <v>302496</v>
      </c>
      <c r="W49" s="13">
        <v>136994.62</v>
      </c>
      <c r="X49" s="155">
        <v>0.45288076536549243</v>
      </c>
      <c r="Y49" s="13">
        <v>165501.38</v>
      </c>
      <c r="Z49" s="13">
        <v>307595</v>
      </c>
      <c r="AA49" s="13">
        <v>128584.43000000001</v>
      </c>
      <c r="AB49" s="155">
        <v>0.41803159999349798</v>
      </c>
      <c r="AC49" s="13">
        <v>307595</v>
      </c>
      <c r="AD49" s="155">
        <v>0.41803159999349798</v>
      </c>
      <c r="AE49" s="13">
        <v>179010.57</v>
      </c>
      <c r="AF49" s="13">
        <v>326242</v>
      </c>
      <c r="AG49" s="13">
        <v>137775.82</v>
      </c>
      <c r="AH49" s="155">
        <v>0.4223117195210917</v>
      </c>
      <c r="AI49" s="13">
        <v>326266</v>
      </c>
      <c r="AJ49" s="155">
        <v>0.42228065443533808</v>
      </c>
      <c r="AK49" s="13">
        <v>188466.18</v>
      </c>
    </row>
    <row r="50" spans="1:37" ht="15.75" customHeight="1">
      <c r="A50" s="206" t="s">
        <v>123</v>
      </c>
      <c r="B50" s="207"/>
      <c r="C50" s="189">
        <f t="shared" ref="C50:D59" si="10">K50</f>
        <v>868091</v>
      </c>
      <c r="D50" s="189">
        <f t="shared" si="10"/>
        <v>434998</v>
      </c>
      <c r="E50" s="187">
        <f t="shared" si="7"/>
        <v>0.50109723519769245</v>
      </c>
      <c r="F50" s="189">
        <f t="shared" ref="F50:F60" si="11">+G50-D50</f>
        <v>-952.5</v>
      </c>
      <c r="G50" s="23">
        <f t="shared" ref="G50:G60" si="12">C50*0.5</f>
        <v>434045.5</v>
      </c>
      <c r="H50" s="25">
        <f t="shared" si="8"/>
        <v>433093</v>
      </c>
      <c r="I50" s="1">
        <v>0.5</v>
      </c>
      <c r="J50" s="135" t="s">
        <v>123</v>
      </c>
      <c r="K50" s="156">
        <v>868091</v>
      </c>
      <c r="L50" s="156">
        <v>434998</v>
      </c>
      <c r="M50" s="155">
        <f t="shared" si="9"/>
        <v>0.50109723519769245</v>
      </c>
      <c r="N50" s="156">
        <v>376370</v>
      </c>
      <c r="O50" s="156">
        <v>134234</v>
      </c>
      <c r="P50" s="155">
        <v>0.35665435608576668</v>
      </c>
      <c r="Q50" s="156">
        <v>242136</v>
      </c>
      <c r="R50" s="156">
        <v>376370</v>
      </c>
      <c r="S50" s="156">
        <v>236962</v>
      </c>
      <c r="T50" s="155">
        <v>0.62959853335813165</v>
      </c>
      <c r="U50" s="156">
        <v>139408</v>
      </c>
      <c r="V50" s="156">
        <v>411370</v>
      </c>
      <c r="W50" s="156">
        <v>289019.63</v>
      </c>
      <c r="X50" s="155">
        <v>0.70257828718671755</v>
      </c>
      <c r="Y50" s="156">
        <v>122350.37</v>
      </c>
      <c r="Z50" s="156">
        <v>510370</v>
      </c>
      <c r="AA50" s="156">
        <v>336446.91</v>
      </c>
      <c r="AB50" s="155">
        <v>0.65922156474714422</v>
      </c>
      <c r="AC50" s="156">
        <v>575162</v>
      </c>
      <c r="AD50" s="155">
        <v>0.58496025467607382</v>
      </c>
      <c r="AE50" s="13">
        <v>173923.09000000003</v>
      </c>
      <c r="AF50" s="156">
        <v>461110</v>
      </c>
      <c r="AG50" s="156">
        <v>304413.27</v>
      </c>
      <c r="AH50" s="155">
        <v>0.66017494740951188</v>
      </c>
      <c r="AI50" s="156">
        <v>497765</v>
      </c>
      <c r="AJ50" s="155">
        <v>0.61156021415728312</v>
      </c>
      <c r="AK50" s="13">
        <v>156696.72999999998</v>
      </c>
    </row>
    <row r="51" spans="1:37" ht="15.75" customHeight="1">
      <c r="A51" s="206" t="s">
        <v>31</v>
      </c>
      <c r="B51" s="207"/>
      <c r="C51" s="189">
        <f t="shared" si="10"/>
        <v>3847599</v>
      </c>
      <c r="D51" s="189">
        <f t="shared" si="10"/>
        <v>1165808</v>
      </c>
      <c r="E51" s="187">
        <f t="shared" si="7"/>
        <v>0.30299623219571481</v>
      </c>
      <c r="F51" s="189">
        <f t="shared" si="11"/>
        <v>757991.5</v>
      </c>
      <c r="G51" s="23">
        <f t="shared" si="12"/>
        <v>1923799.5</v>
      </c>
      <c r="H51" s="25">
        <f t="shared" si="8"/>
        <v>2681791</v>
      </c>
      <c r="I51" s="1">
        <v>0.5</v>
      </c>
      <c r="J51" s="135" t="s">
        <v>31</v>
      </c>
      <c r="K51" s="156">
        <v>3847599</v>
      </c>
      <c r="L51" s="156">
        <v>1165808</v>
      </c>
      <c r="M51" s="155">
        <f t="shared" si="9"/>
        <v>0.30299623219571481</v>
      </c>
      <c r="N51" s="156">
        <v>3539581</v>
      </c>
      <c r="O51" s="156">
        <v>1181233</v>
      </c>
      <c r="P51" s="155">
        <v>0.3337211381799145</v>
      </c>
      <c r="Q51" s="156">
        <v>2358348</v>
      </c>
      <c r="R51" s="156">
        <v>2892101</v>
      </c>
      <c r="S51" s="156">
        <v>991365</v>
      </c>
      <c r="T51" s="155">
        <v>0.34278367180122687</v>
      </c>
      <c r="U51" s="156">
        <v>1900736</v>
      </c>
      <c r="V51" s="156">
        <v>3263326</v>
      </c>
      <c r="W51" s="156">
        <v>1521774.66</v>
      </c>
      <c r="X51" s="155">
        <v>0.46632627570766755</v>
      </c>
      <c r="Y51" s="156">
        <v>1741551.34</v>
      </c>
      <c r="Z51" s="156">
        <v>3360551</v>
      </c>
      <c r="AA51" s="156">
        <v>1517439.4300000002</v>
      </c>
      <c r="AB51" s="155">
        <v>0.45154482999960427</v>
      </c>
      <c r="AC51" s="156">
        <v>3258569</v>
      </c>
      <c r="AD51" s="155">
        <v>0.46567662983352515</v>
      </c>
      <c r="AE51" s="13">
        <v>1843111.5699999998</v>
      </c>
      <c r="AF51" s="156">
        <v>2433415</v>
      </c>
      <c r="AG51" s="156">
        <v>1357706.9300000002</v>
      </c>
      <c r="AH51" s="155">
        <v>0.55794302656965633</v>
      </c>
      <c r="AI51" s="156">
        <v>3116351</v>
      </c>
      <c r="AJ51" s="155">
        <v>0.43567201833169633</v>
      </c>
      <c r="AK51" s="13">
        <v>1075708.0699999998</v>
      </c>
    </row>
    <row r="52" spans="1:37" ht="15.75" customHeight="1">
      <c r="A52" s="206" t="s">
        <v>15</v>
      </c>
      <c r="B52" s="207"/>
      <c r="C52" s="189">
        <f t="shared" si="10"/>
        <v>10587235</v>
      </c>
      <c r="D52" s="189">
        <f t="shared" si="10"/>
        <v>4512469</v>
      </c>
      <c r="E52" s="187">
        <f t="shared" si="7"/>
        <v>0.42621789352933037</v>
      </c>
      <c r="F52" s="189">
        <f t="shared" si="11"/>
        <v>781148.5</v>
      </c>
      <c r="G52" s="23">
        <f t="shared" si="12"/>
        <v>5293617.5</v>
      </c>
      <c r="H52" s="25">
        <f t="shared" si="8"/>
        <v>6074766</v>
      </c>
      <c r="I52" s="1">
        <v>0.5</v>
      </c>
      <c r="J52" s="135" t="s">
        <v>15</v>
      </c>
      <c r="K52" s="156">
        <v>10587235</v>
      </c>
      <c r="L52" s="156">
        <v>4512469</v>
      </c>
      <c r="M52" s="155">
        <f t="shared" si="9"/>
        <v>0.42621789352933037</v>
      </c>
      <c r="N52" s="156">
        <v>10245180</v>
      </c>
      <c r="O52" s="156">
        <v>5458811</v>
      </c>
      <c r="P52" s="155">
        <v>0.53281748100082182</v>
      </c>
      <c r="Q52" s="156">
        <v>4786369</v>
      </c>
      <c r="R52" s="156">
        <v>10586321</v>
      </c>
      <c r="S52" s="156">
        <v>5265073</v>
      </c>
      <c r="T52" s="155">
        <v>0.49734681198501351</v>
      </c>
      <c r="U52" s="156">
        <v>5321248</v>
      </c>
      <c r="V52" s="156">
        <v>10604579</v>
      </c>
      <c r="W52" s="156">
        <v>5308214.72</v>
      </c>
      <c r="X52" s="155">
        <v>0.50055874165301606</v>
      </c>
      <c r="Y52" s="156">
        <v>5296364.28</v>
      </c>
      <c r="Z52" s="156">
        <v>10906229</v>
      </c>
      <c r="AA52" s="156">
        <v>5148824.4700000007</v>
      </c>
      <c r="AB52" s="155">
        <v>0.47209942776737962</v>
      </c>
      <c r="AC52" s="156">
        <v>11732575</v>
      </c>
      <c r="AD52" s="155">
        <v>0.43884863041574423</v>
      </c>
      <c r="AE52" s="13">
        <v>5757404.5299999993</v>
      </c>
      <c r="AF52" s="156">
        <v>9925189</v>
      </c>
      <c r="AG52" s="156">
        <v>5097103.41</v>
      </c>
      <c r="AH52" s="155">
        <v>0.5135522769390084</v>
      </c>
      <c r="AI52" s="156">
        <v>10190881</v>
      </c>
      <c r="AJ52" s="155">
        <v>0.50016317627494622</v>
      </c>
      <c r="AK52" s="13">
        <v>4828085.59</v>
      </c>
    </row>
    <row r="53" spans="1:37" ht="15.75" customHeight="1">
      <c r="A53" s="206" t="s">
        <v>14</v>
      </c>
      <c r="B53" s="207"/>
      <c r="C53" s="189">
        <f t="shared" si="10"/>
        <v>32667394</v>
      </c>
      <c r="D53" s="189">
        <f t="shared" si="10"/>
        <v>11693752</v>
      </c>
      <c r="E53" s="187">
        <f t="shared" si="7"/>
        <v>0.35796402982129522</v>
      </c>
      <c r="F53" s="189">
        <f t="shared" si="11"/>
        <v>4639945</v>
      </c>
      <c r="G53" s="23">
        <f t="shared" si="12"/>
        <v>16333697</v>
      </c>
      <c r="H53" s="25">
        <f t="shared" si="8"/>
        <v>20973642</v>
      </c>
      <c r="I53" s="1">
        <v>0.5</v>
      </c>
      <c r="J53" s="135" t="s">
        <v>151</v>
      </c>
      <c r="K53" s="156">
        <v>32667394</v>
      </c>
      <c r="L53" s="156">
        <v>11693752</v>
      </c>
      <c r="M53" s="155">
        <f t="shared" si="9"/>
        <v>0.35796402982129522</v>
      </c>
      <c r="N53" s="156">
        <v>31030208</v>
      </c>
      <c r="O53" s="156">
        <v>11707809</v>
      </c>
      <c r="P53" s="155">
        <v>0.37730359396881902</v>
      </c>
      <c r="Q53" s="156">
        <v>19322399</v>
      </c>
      <c r="R53" s="156">
        <v>36594199</v>
      </c>
      <c r="S53" s="156">
        <v>14902536</v>
      </c>
      <c r="T53" s="155">
        <v>0.40723766081066565</v>
      </c>
      <c r="U53" s="156">
        <v>21691663</v>
      </c>
      <c r="V53" s="156">
        <v>36033186</v>
      </c>
      <c r="W53" s="156">
        <v>11063278.310000001</v>
      </c>
      <c r="X53" s="155">
        <v>0.30703025566487518</v>
      </c>
      <c r="Y53" s="156">
        <v>24969907.689999998</v>
      </c>
      <c r="Z53" s="156">
        <v>34955768</v>
      </c>
      <c r="AA53" s="156">
        <v>12937997.109999999</v>
      </c>
      <c r="AB53" s="155">
        <v>0.37012481344995768</v>
      </c>
      <c r="AC53" s="156">
        <v>31765451</v>
      </c>
      <c r="AD53" s="155">
        <v>0.40729776227638004</v>
      </c>
      <c r="AE53" s="13">
        <v>22017770.890000001</v>
      </c>
      <c r="AF53" s="156">
        <v>33931130</v>
      </c>
      <c r="AG53" s="156">
        <v>8682749.5</v>
      </c>
      <c r="AH53" s="155">
        <v>0.25589331979217905</v>
      </c>
      <c r="AI53" s="156">
        <v>30400731</v>
      </c>
      <c r="AJ53" s="155">
        <v>0.28560989207792403</v>
      </c>
      <c r="AK53" s="13">
        <v>25248380.5</v>
      </c>
    </row>
    <row r="54" spans="1:37" ht="15.75" customHeight="1">
      <c r="A54" s="206" t="s">
        <v>124</v>
      </c>
      <c r="B54" s="207"/>
      <c r="C54" s="189">
        <f t="shared" si="10"/>
        <v>11767178</v>
      </c>
      <c r="D54" s="189">
        <f t="shared" si="10"/>
        <v>5940851</v>
      </c>
      <c r="E54" s="187">
        <f t="shared" si="7"/>
        <v>0.50486624745542219</v>
      </c>
      <c r="F54" s="189">
        <f t="shared" si="11"/>
        <v>-57262</v>
      </c>
      <c r="G54" s="23">
        <f t="shared" si="12"/>
        <v>5883589</v>
      </c>
      <c r="H54" s="25">
        <f t="shared" si="8"/>
        <v>5826327</v>
      </c>
      <c r="I54" s="1">
        <v>0.5</v>
      </c>
      <c r="J54" s="135" t="s">
        <v>124</v>
      </c>
      <c r="K54" s="156">
        <v>11767178</v>
      </c>
      <c r="L54" s="156">
        <v>5940851</v>
      </c>
      <c r="M54" s="155">
        <f t="shared" si="9"/>
        <v>0.50486624745542219</v>
      </c>
      <c r="N54" s="156">
        <v>11756112</v>
      </c>
      <c r="O54" s="156">
        <v>5585573</v>
      </c>
      <c r="P54" s="155">
        <v>0.47512077122096147</v>
      </c>
      <c r="Q54" s="156">
        <v>6170539</v>
      </c>
      <c r="R54" s="156">
        <v>12350821</v>
      </c>
      <c r="S54" s="156">
        <v>5621707</v>
      </c>
      <c r="T54" s="155">
        <v>0.45516868878595196</v>
      </c>
      <c r="U54" s="156">
        <v>6729114</v>
      </c>
      <c r="V54" s="156">
        <v>11603014</v>
      </c>
      <c r="W54" s="156">
        <v>5465500.0300000003</v>
      </c>
      <c r="X54" s="155">
        <v>0.47104140613809481</v>
      </c>
      <c r="Y54" s="156">
        <v>6137513.9699999997</v>
      </c>
      <c r="Z54" s="156">
        <v>11138553</v>
      </c>
      <c r="AA54" s="156">
        <v>5806850.4500000002</v>
      </c>
      <c r="AB54" s="155">
        <v>0.52132897783042376</v>
      </c>
      <c r="AC54" s="156">
        <v>12178567</v>
      </c>
      <c r="AD54" s="155">
        <v>0.4768090079891994</v>
      </c>
      <c r="AE54" s="13">
        <v>5331702.55</v>
      </c>
      <c r="AF54" s="156">
        <v>10691922</v>
      </c>
      <c r="AG54" s="156">
        <v>4386370.58</v>
      </c>
      <c r="AH54" s="155">
        <v>0.41025089595677933</v>
      </c>
      <c r="AI54" s="156">
        <v>11576518</v>
      </c>
      <c r="AJ54" s="155">
        <v>0.37890241089764642</v>
      </c>
      <c r="AK54" s="13">
        <v>6305551.4199999999</v>
      </c>
    </row>
    <row r="55" spans="1:37" ht="15.75" customHeight="1">
      <c r="A55" s="206" t="s">
        <v>32</v>
      </c>
      <c r="B55" s="207"/>
      <c r="C55" s="189">
        <f t="shared" si="10"/>
        <v>15377499</v>
      </c>
      <c r="D55" s="189">
        <f t="shared" si="10"/>
        <v>6422867</v>
      </c>
      <c r="E55" s="187">
        <f t="shared" si="7"/>
        <v>0.41767955894518349</v>
      </c>
      <c r="F55" s="189">
        <f t="shared" si="11"/>
        <v>1265882.5</v>
      </c>
      <c r="G55" s="23">
        <f t="shared" si="12"/>
        <v>7688749.5</v>
      </c>
      <c r="H55" s="25">
        <f t="shared" si="8"/>
        <v>8954632</v>
      </c>
      <c r="I55" s="1">
        <v>0.5</v>
      </c>
      <c r="J55" s="135" t="s">
        <v>32</v>
      </c>
      <c r="K55" s="156">
        <v>15377499</v>
      </c>
      <c r="L55" s="156">
        <v>6422867</v>
      </c>
      <c r="M55" s="155">
        <f t="shared" si="9"/>
        <v>0.41767955894518349</v>
      </c>
      <c r="N55" s="156">
        <v>14379926</v>
      </c>
      <c r="O55" s="156">
        <v>7613692</v>
      </c>
      <c r="P55" s="155">
        <v>0.52946670240166749</v>
      </c>
      <c r="Q55" s="156">
        <v>6766234</v>
      </c>
      <c r="R55" s="156">
        <v>14589387</v>
      </c>
      <c r="S55" s="156">
        <v>7281236</v>
      </c>
      <c r="T55" s="155">
        <v>0.49907758290324328</v>
      </c>
      <c r="U55" s="156">
        <v>7308151</v>
      </c>
      <c r="V55" s="156">
        <v>14742575</v>
      </c>
      <c r="W55" s="156">
        <v>7110684.3600000003</v>
      </c>
      <c r="X55" s="155">
        <v>0.48232309213281943</v>
      </c>
      <c r="Y55" s="156">
        <v>7631890.6399999997</v>
      </c>
      <c r="Z55" s="156">
        <v>14546174</v>
      </c>
      <c r="AA55" s="156">
        <v>7093933.3399999999</v>
      </c>
      <c r="AB55" s="155">
        <v>0.48768379506528658</v>
      </c>
      <c r="AC55" s="156">
        <v>14631394</v>
      </c>
      <c r="AD55" s="155">
        <v>0.48484329927825059</v>
      </c>
      <c r="AE55" s="13">
        <v>7452240.6600000001</v>
      </c>
      <c r="AF55" s="156">
        <v>13877308</v>
      </c>
      <c r="AG55" s="156">
        <v>6907471.1899999995</v>
      </c>
      <c r="AH55" s="155">
        <v>0.49775296404749392</v>
      </c>
      <c r="AI55" s="156">
        <v>14249804</v>
      </c>
      <c r="AJ55" s="155">
        <v>0.48474148767239184</v>
      </c>
      <c r="AK55" s="13">
        <v>6969836.8100000005</v>
      </c>
    </row>
    <row r="56" spans="1:37" ht="15.75" customHeight="1">
      <c r="A56" s="206" t="s">
        <v>33</v>
      </c>
      <c r="B56" s="207"/>
      <c r="C56" s="189">
        <f t="shared" si="10"/>
        <v>10551894</v>
      </c>
      <c r="D56" s="189">
        <f t="shared" si="10"/>
        <v>4528524</v>
      </c>
      <c r="E56" s="187">
        <f t="shared" si="7"/>
        <v>0.42916693439111497</v>
      </c>
      <c r="F56" s="189">
        <f t="shared" si="11"/>
        <v>747423</v>
      </c>
      <c r="G56" s="23">
        <f t="shared" si="12"/>
        <v>5275947</v>
      </c>
      <c r="H56" s="25">
        <f t="shared" si="8"/>
        <v>6023370</v>
      </c>
      <c r="I56" s="1">
        <v>0.5</v>
      </c>
      <c r="J56" s="135" t="s">
        <v>33</v>
      </c>
      <c r="K56" s="156">
        <v>10551894</v>
      </c>
      <c r="L56" s="156">
        <v>4528524</v>
      </c>
      <c r="M56" s="155">
        <f t="shared" si="9"/>
        <v>0.42916693439111497</v>
      </c>
      <c r="N56" s="156">
        <v>10468040</v>
      </c>
      <c r="O56" s="156">
        <v>5391613</v>
      </c>
      <c r="P56" s="155">
        <v>0.51505468072342098</v>
      </c>
      <c r="Q56" s="156">
        <v>5076427</v>
      </c>
      <c r="R56" s="156">
        <v>10895570</v>
      </c>
      <c r="S56" s="156">
        <v>5400688</v>
      </c>
      <c r="T56" s="155">
        <v>0.49567741751923028</v>
      </c>
      <c r="U56" s="156">
        <v>5494882</v>
      </c>
      <c r="V56" s="156">
        <v>10775827</v>
      </c>
      <c r="W56" s="156">
        <v>5358645.12</v>
      </c>
      <c r="X56" s="155">
        <v>0.49728388549667696</v>
      </c>
      <c r="Y56" s="156">
        <v>5417181.8799999999</v>
      </c>
      <c r="Z56" s="156">
        <v>10460745</v>
      </c>
      <c r="AA56" s="156">
        <v>5117713.63</v>
      </c>
      <c r="AB56" s="155">
        <v>0.48923032059380089</v>
      </c>
      <c r="AC56" s="156">
        <v>10518776</v>
      </c>
      <c r="AD56" s="155">
        <v>0.4865312874805966</v>
      </c>
      <c r="AE56" s="13">
        <v>5343031.37</v>
      </c>
      <c r="AF56" s="156">
        <v>10121330</v>
      </c>
      <c r="AG56" s="156">
        <v>4987796.5</v>
      </c>
      <c r="AH56" s="155">
        <v>0.49280050151511706</v>
      </c>
      <c r="AI56" s="156">
        <v>10185578</v>
      </c>
      <c r="AJ56" s="155">
        <v>0.48969204300433417</v>
      </c>
      <c r="AK56" s="13">
        <v>5133533.5</v>
      </c>
    </row>
    <row r="57" spans="1:37" ht="15.75" customHeight="1">
      <c r="A57" s="206" t="s">
        <v>34</v>
      </c>
      <c r="B57" s="207"/>
      <c r="C57" s="189">
        <f t="shared" si="10"/>
        <v>10649104</v>
      </c>
      <c r="D57" s="189">
        <f t="shared" si="10"/>
        <v>4526039</v>
      </c>
      <c r="E57" s="187">
        <f t="shared" si="7"/>
        <v>0.42501594500344819</v>
      </c>
      <c r="F57" s="189">
        <f t="shared" si="11"/>
        <v>798513</v>
      </c>
      <c r="G57" s="23">
        <f t="shared" si="12"/>
        <v>5324552</v>
      </c>
      <c r="H57" s="25">
        <f t="shared" si="8"/>
        <v>6123065</v>
      </c>
      <c r="I57" s="1">
        <v>0.5</v>
      </c>
      <c r="J57" s="135" t="s">
        <v>34</v>
      </c>
      <c r="K57" s="156">
        <v>10649104</v>
      </c>
      <c r="L57" s="156">
        <v>4526039</v>
      </c>
      <c r="M57" s="155">
        <f t="shared" si="9"/>
        <v>0.42501594500344819</v>
      </c>
      <c r="N57" s="156">
        <v>10353415</v>
      </c>
      <c r="O57" s="156">
        <v>5282435</v>
      </c>
      <c r="P57" s="155">
        <v>0.51021184797479868</v>
      </c>
      <c r="Q57" s="156">
        <v>5070980</v>
      </c>
      <c r="R57" s="156">
        <v>10218116</v>
      </c>
      <c r="S57" s="156">
        <v>4631802</v>
      </c>
      <c r="T57" s="155">
        <v>0.45329315110535051</v>
      </c>
      <c r="U57" s="156">
        <v>5586314</v>
      </c>
      <c r="V57" s="156">
        <v>10781064</v>
      </c>
      <c r="W57" s="156">
        <v>4565598.2300000004</v>
      </c>
      <c r="X57" s="155">
        <v>0.42348308385888445</v>
      </c>
      <c r="Y57" s="156">
        <v>6215465.7699999996</v>
      </c>
      <c r="Z57" s="156">
        <v>10829424</v>
      </c>
      <c r="AA57" s="156">
        <v>4724841.4400000004</v>
      </c>
      <c r="AB57" s="155">
        <v>0.43629665252741057</v>
      </c>
      <c r="AC57" s="156">
        <v>11207054</v>
      </c>
      <c r="AD57" s="155">
        <v>0.42159531309477055</v>
      </c>
      <c r="AE57" s="13">
        <v>6104582.5599999996</v>
      </c>
      <c r="AF57" s="156">
        <v>10503495</v>
      </c>
      <c r="AG57" s="156">
        <v>4702741.6899999995</v>
      </c>
      <c r="AH57" s="155">
        <v>0.44773113044753193</v>
      </c>
      <c r="AI57" s="156">
        <v>11177385</v>
      </c>
      <c r="AJ57" s="155">
        <v>0.42073720194839842</v>
      </c>
      <c r="AK57" s="13">
        <v>5800753.3100000005</v>
      </c>
    </row>
    <row r="58" spans="1:37" ht="15.75" customHeight="1">
      <c r="A58" s="206" t="s">
        <v>35</v>
      </c>
      <c r="B58" s="207"/>
      <c r="C58" s="189">
        <f t="shared" si="10"/>
        <v>55086649</v>
      </c>
      <c r="D58" s="189">
        <f t="shared" si="10"/>
        <v>24838449</v>
      </c>
      <c r="E58" s="187">
        <f t="shared" si="7"/>
        <v>0.4508978028414834</v>
      </c>
      <c r="F58" s="189">
        <f t="shared" si="11"/>
        <v>2704875.5</v>
      </c>
      <c r="G58" s="23">
        <f t="shared" si="12"/>
        <v>27543324.5</v>
      </c>
      <c r="H58" s="25">
        <f>C58-D58</f>
        <v>30248200</v>
      </c>
      <c r="I58" s="1">
        <v>0.5</v>
      </c>
      <c r="J58" s="135" t="s">
        <v>35</v>
      </c>
      <c r="K58" s="156">
        <v>55086649</v>
      </c>
      <c r="L58" s="156">
        <v>24838449</v>
      </c>
      <c r="M58" s="155">
        <f t="shared" si="9"/>
        <v>0.4508978028414834</v>
      </c>
      <c r="N58" s="156">
        <v>45271679</v>
      </c>
      <c r="O58" s="156">
        <v>24431200</v>
      </c>
      <c r="P58" s="155">
        <v>0.5396574754826301</v>
      </c>
      <c r="Q58" s="156">
        <v>20840479</v>
      </c>
      <c r="R58" s="156">
        <v>45505343</v>
      </c>
      <c r="S58" s="156">
        <v>23617795</v>
      </c>
      <c r="T58" s="155">
        <v>0.51901147080684573</v>
      </c>
      <c r="U58" s="156">
        <v>21887548</v>
      </c>
      <c r="V58" s="156">
        <v>45971504</v>
      </c>
      <c r="W58" s="156">
        <v>23496387.489999998</v>
      </c>
      <c r="X58" s="155">
        <v>0.51110765247097412</v>
      </c>
      <c r="Y58" s="156">
        <v>22475116.510000002</v>
      </c>
      <c r="Z58" s="156">
        <v>44763416</v>
      </c>
      <c r="AA58" s="156">
        <v>23289222.100000001</v>
      </c>
      <c r="AB58" s="155">
        <v>0.52027356670009284</v>
      </c>
      <c r="AC58" s="156">
        <v>45148643</v>
      </c>
      <c r="AD58" s="155">
        <v>0.51583437624027817</v>
      </c>
      <c r="AE58" s="13">
        <v>21474193.899999999</v>
      </c>
      <c r="AF58" s="156">
        <v>44214975</v>
      </c>
      <c r="AG58" s="156">
        <v>22765117.540000003</v>
      </c>
      <c r="AH58" s="155">
        <v>0.51487346854770366</v>
      </c>
      <c r="AI58" s="156">
        <v>44791732</v>
      </c>
      <c r="AJ58" s="155">
        <v>0.50824374328726563</v>
      </c>
      <c r="AK58" s="13">
        <v>21449857.459999997</v>
      </c>
    </row>
    <row r="59" spans="1:37" ht="15.75" customHeight="1" thickBot="1">
      <c r="A59" s="206" t="s">
        <v>36</v>
      </c>
      <c r="B59" s="207"/>
      <c r="C59" s="189">
        <f t="shared" si="10"/>
        <v>330000</v>
      </c>
      <c r="D59" s="189">
        <f t="shared" si="10"/>
        <v>410340</v>
      </c>
      <c r="E59" s="187">
        <f t="shared" si="7"/>
        <v>1.2434545454545454</v>
      </c>
      <c r="F59" s="189">
        <f t="shared" si="11"/>
        <v>-245340</v>
      </c>
      <c r="G59" s="23">
        <f t="shared" si="12"/>
        <v>165000</v>
      </c>
      <c r="H59" s="25">
        <v>0</v>
      </c>
      <c r="I59" s="1">
        <v>0.5</v>
      </c>
      <c r="J59" s="135" t="s">
        <v>36</v>
      </c>
      <c r="K59" s="158">
        <v>330000</v>
      </c>
      <c r="L59" s="158">
        <v>410340</v>
      </c>
      <c r="M59" s="152">
        <f t="shared" si="9"/>
        <v>1.2434545454545454</v>
      </c>
      <c r="N59" s="158">
        <v>9085000</v>
      </c>
      <c r="O59" s="158">
        <v>9085000</v>
      </c>
      <c r="P59" s="152">
        <v>1</v>
      </c>
      <c r="Q59" s="158">
        <v>0</v>
      </c>
      <c r="R59" s="158">
        <v>9355000</v>
      </c>
      <c r="S59" s="158">
        <v>9355000</v>
      </c>
      <c r="T59" s="152">
        <v>1</v>
      </c>
      <c r="U59" s="158">
        <v>0</v>
      </c>
      <c r="V59" s="158">
        <v>8370000</v>
      </c>
      <c r="W59" s="158">
        <v>7790000</v>
      </c>
      <c r="X59" s="152">
        <v>0.93070489844683391</v>
      </c>
      <c r="Y59" s="158">
        <v>580000</v>
      </c>
      <c r="Z59" s="158">
        <v>8707782</v>
      </c>
      <c r="AA59" s="158">
        <v>8668245</v>
      </c>
      <c r="AB59" s="152">
        <v>0.99545957857006528</v>
      </c>
      <c r="AC59" s="158">
        <v>13464262</v>
      </c>
      <c r="AD59" s="152">
        <v>0.64379651851694508</v>
      </c>
      <c r="AE59" s="159">
        <v>39537</v>
      </c>
      <c r="AF59" s="158">
        <v>9046853</v>
      </c>
      <c r="AG59" s="158">
        <v>8086390</v>
      </c>
      <c r="AH59" s="152">
        <v>0.89383457429893021</v>
      </c>
      <c r="AI59" s="158">
        <v>19089565</v>
      </c>
      <c r="AJ59" s="152">
        <v>0.42360263316633984</v>
      </c>
      <c r="AK59" s="159">
        <v>960463</v>
      </c>
    </row>
    <row r="60" spans="1:37" ht="15.75" customHeight="1" thickBot="1">
      <c r="A60" s="210" t="s">
        <v>28</v>
      </c>
      <c r="B60" s="211"/>
      <c r="C60" s="186">
        <f>SUM(C49:C59)</f>
        <v>151995430</v>
      </c>
      <c r="D60" s="186">
        <f>SUM(D49:D59)</f>
        <v>64583556</v>
      </c>
      <c r="E60" s="187">
        <f t="shared" si="7"/>
        <v>0.42490459088144955</v>
      </c>
      <c r="F60" s="188">
        <f t="shared" si="11"/>
        <v>11414159</v>
      </c>
      <c r="G60" s="23">
        <f t="shared" si="12"/>
        <v>75997715</v>
      </c>
      <c r="J60" s="107"/>
      <c r="K60" s="157">
        <f>SUM(K49:K59)</f>
        <v>151995430</v>
      </c>
      <c r="L60" s="157">
        <f>SUM(L49:L59)</f>
        <v>64583556</v>
      </c>
      <c r="M60" s="153">
        <f t="shared" si="9"/>
        <v>0.42490459088144955</v>
      </c>
      <c r="N60" s="157">
        <v>146765759</v>
      </c>
      <c r="O60" s="157">
        <v>76004419</v>
      </c>
      <c r="P60" s="153">
        <v>0.51786206481581309</v>
      </c>
      <c r="Q60" s="157">
        <v>70761340</v>
      </c>
      <c r="R60" s="157">
        <v>153678623</v>
      </c>
      <c r="S60" s="157">
        <v>77443814</v>
      </c>
      <c r="T60" s="153">
        <v>0.50393354969090265</v>
      </c>
      <c r="U60" s="157">
        <v>76234809</v>
      </c>
      <c r="V60" s="157">
        <v>152858941</v>
      </c>
      <c r="W60" s="157">
        <v>72106097.170000002</v>
      </c>
      <c r="X60" s="153">
        <v>0.47171658195643262</v>
      </c>
      <c r="Y60" s="157">
        <v>80752843.830000013</v>
      </c>
      <c r="Z60" s="157">
        <v>150486607</v>
      </c>
      <c r="AA60" s="157">
        <v>74770098.310000002</v>
      </c>
      <c r="AB60" s="153">
        <v>0.49685549963924697</v>
      </c>
      <c r="AC60" s="157">
        <v>154788048</v>
      </c>
      <c r="AD60" s="153">
        <v>0.48304826681450236</v>
      </c>
      <c r="AE60" s="157">
        <v>75716508.689999998</v>
      </c>
      <c r="AF60" s="157">
        <v>145532969</v>
      </c>
      <c r="AG60" s="157">
        <v>67415636.429999992</v>
      </c>
      <c r="AH60" s="153">
        <v>0.46323274302196082</v>
      </c>
      <c r="AI60" s="157">
        <v>155602576</v>
      </c>
      <c r="AJ60" s="153">
        <v>0.43325527226490129</v>
      </c>
      <c r="AK60" s="157">
        <v>78117332.570000008</v>
      </c>
    </row>
    <row r="61" spans="1:37" ht="15.75" customHeight="1" thickTop="1">
      <c r="A61" s="192"/>
      <c r="B61" s="192"/>
      <c r="C61" s="193"/>
      <c r="D61" s="193"/>
      <c r="E61" s="194"/>
      <c r="F61" s="195"/>
      <c r="G61" s="14"/>
      <c r="J61" s="107"/>
      <c r="K61" s="107"/>
      <c r="L61" s="107"/>
      <c r="M61" s="107"/>
      <c r="N61" s="24"/>
      <c r="O61" s="24"/>
      <c r="P61" s="170"/>
      <c r="Q61" s="24"/>
      <c r="R61" s="24"/>
      <c r="S61" s="24"/>
      <c r="T61" s="170"/>
      <c r="U61" s="24"/>
      <c r="V61" s="24"/>
      <c r="W61" s="24"/>
      <c r="X61" s="170"/>
      <c r="Y61" s="24"/>
      <c r="Z61" s="170"/>
      <c r="AA61" s="24"/>
      <c r="AB61" s="24"/>
      <c r="AC61" s="24"/>
      <c r="AD61" s="170"/>
      <c r="AE61" s="24"/>
      <c r="AF61" s="170"/>
      <c r="AG61" s="24"/>
    </row>
    <row r="62" spans="1:37" ht="15.75" customHeight="1">
      <c r="A62" s="192"/>
      <c r="B62" s="192"/>
      <c r="C62" s="193"/>
      <c r="D62" s="193"/>
      <c r="E62" s="194"/>
      <c r="F62" s="195"/>
      <c r="G62" s="14"/>
      <c r="J62" s="107"/>
      <c r="K62" s="107"/>
      <c r="L62" s="107"/>
      <c r="M62" s="107"/>
      <c r="N62" s="24"/>
      <c r="O62" s="24"/>
      <c r="P62" s="170"/>
      <c r="Q62" s="24"/>
      <c r="R62" s="24"/>
      <c r="S62" s="24"/>
      <c r="T62" s="170"/>
      <c r="U62" s="24"/>
      <c r="V62" s="24"/>
      <c r="W62" s="24"/>
      <c r="X62" s="170"/>
      <c r="Y62" s="24"/>
      <c r="Z62" s="170"/>
      <c r="AA62" s="24"/>
      <c r="AB62" s="24"/>
      <c r="AC62" s="24"/>
      <c r="AD62" s="170"/>
      <c r="AE62" s="24"/>
      <c r="AF62" s="170"/>
      <c r="AG62" s="24"/>
    </row>
    <row r="63" spans="1:37" ht="15.75">
      <c r="A63" s="183"/>
      <c r="B63" s="183"/>
      <c r="C63" s="183"/>
      <c r="D63" s="183"/>
      <c r="E63" s="183"/>
      <c r="F63" s="183"/>
    </row>
    <row r="64" spans="1:37" ht="15.75">
      <c r="A64" s="183"/>
      <c r="B64" s="183"/>
      <c r="C64" s="183"/>
      <c r="D64" s="183"/>
      <c r="E64" s="183"/>
      <c r="F64" s="183"/>
    </row>
    <row r="65" spans="1:6" ht="15.75">
      <c r="A65" s="183"/>
      <c r="B65" s="183"/>
      <c r="C65" s="183"/>
      <c r="D65" s="183"/>
      <c r="E65" s="183"/>
      <c r="F65" s="183"/>
    </row>
    <row r="66" spans="1:6" ht="15.75">
      <c r="A66" s="183"/>
      <c r="B66" s="183"/>
      <c r="C66" s="183"/>
      <c r="D66" s="183"/>
      <c r="E66" s="183"/>
      <c r="F66" s="183"/>
    </row>
    <row r="67" spans="1:6" ht="15.75">
      <c r="A67" s="183"/>
      <c r="B67" s="183"/>
      <c r="C67" s="183"/>
      <c r="D67" s="183"/>
      <c r="E67" s="183"/>
      <c r="F67" s="183"/>
    </row>
    <row r="68" spans="1:6" ht="15.75">
      <c r="A68" s="183"/>
      <c r="B68" s="183"/>
      <c r="C68" s="183"/>
      <c r="D68" s="183"/>
      <c r="E68" s="183"/>
      <c r="F68" s="183"/>
    </row>
    <row r="69" spans="1:6" ht="15.75">
      <c r="A69" s="183"/>
      <c r="B69" s="183"/>
      <c r="C69" s="183"/>
      <c r="D69" s="183"/>
      <c r="E69" s="183"/>
      <c r="F69" s="183"/>
    </row>
    <row r="70" spans="1:6" ht="15.75">
      <c r="A70" s="183"/>
      <c r="B70" s="183"/>
      <c r="C70" s="183"/>
      <c r="D70" s="183"/>
      <c r="E70" s="183"/>
      <c r="F70" s="183"/>
    </row>
    <row r="71" spans="1:6" ht="15.75">
      <c r="A71" s="183"/>
      <c r="B71" s="183"/>
      <c r="C71" s="183"/>
      <c r="D71" s="183"/>
      <c r="E71" s="183"/>
      <c r="F71" s="183"/>
    </row>
    <row r="72" spans="1:6" ht="15.75">
      <c r="A72" s="183"/>
      <c r="B72" s="183"/>
      <c r="C72" s="183"/>
      <c r="D72" s="183"/>
      <c r="E72" s="183"/>
      <c r="F72" s="183"/>
    </row>
    <row r="73" spans="1:6" ht="15.75">
      <c r="A73" s="183"/>
      <c r="B73" s="183"/>
      <c r="C73" s="183"/>
      <c r="D73" s="183"/>
      <c r="E73" s="183"/>
      <c r="F73" s="183"/>
    </row>
    <row r="74" spans="1:6" ht="15.75">
      <c r="A74" s="183"/>
      <c r="B74" s="183"/>
      <c r="C74" s="183"/>
      <c r="D74" s="183"/>
      <c r="E74" s="183"/>
      <c r="F74" s="183"/>
    </row>
    <row r="75" spans="1:6" ht="15.75">
      <c r="A75" s="183"/>
      <c r="B75" s="183"/>
      <c r="C75" s="183"/>
      <c r="D75" s="183"/>
      <c r="E75" s="183"/>
      <c r="F75" s="183"/>
    </row>
    <row r="76" spans="1:6" ht="15.75">
      <c r="A76" s="183"/>
      <c r="B76" s="183"/>
      <c r="C76" s="183"/>
      <c r="D76" s="183"/>
      <c r="E76" s="183"/>
      <c r="F76" s="183"/>
    </row>
    <row r="77" spans="1:6" ht="15.75">
      <c r="A77" s="183"/>
      <c r="B77" s="183"/>
      <c r="C77" s="183"/>
      <c r="D77" s="183"/>
      <c r="E77" s="183"/>
      <c r="F77" s="183"/>
    </row>
    <row r="78" spans="1:6" ht="15.75">
      <c r="A78" s="183"/>
      <c r="B78" s="183"/>
      <c r="C78" s="183"/>
      <c r="D78" s="183"/>
      <c r="E78" s="183"/>
      <c r="F78" s="183"/>
    </row>
    <row r="79" spans="1:6" ht="15.75">
      <c r="A79" s="183"/>
      <c r="B79" s="183"/>
      <c r="C79" s="183"/>
      <c r="D79" s="183"/>
      <c r="E79" s="183"/>
      <c r="F79" s="183"/>
    </row>
    <row r="80" spans="1:6" ht="15.75">
      <c r="A80" s="183"/>
      <c r="B80" s="183"/>
      <c r="C80" s="183"/>
      <c r="D80" s="183"/>
      <c r="E80" s="183"/>
      <c r="F80" s="183"/>
    </row>
    <row r="81" spans="1:6" ht="15.75">
      <c r="A81" s="183"/>
      <c r="B81" s="183"/>
      <c r="C81" s="183"/>
      <c r="D81" s="183"/>
      <c r="E81" s="183"/>
      <c r="F81" s="183"/>
    </row>
    <row r="82" spans="1:6" ht="15.75">
      <c r="A82" s="183"/>
      <c r="B82" s="183"/>
      <c r="C82" s="183"/>
      <c r="D82" s="183"/>
      <c r="E82" s="183"/>
      <c r="F82" s="183"/>
    </row>
    <row r="83" spans="1:6" ht="15.75">
      <c r="A83" s="183"/>
      <c r="B83" s="183"/>
      <c r="C83" s="183"/>
      <c r="D83" s="183"/>
      <c r="E83" s="183"/>
      <c r="F83" s="183"/>
    </row>
    <row r="84" spans="1:6" ht="15.75">
      <c r="A84" s="183"/>
      <c r="B84" s="183"/>
      <c r="C84" s="183"/>
      <c r="D84" s="183"/>
      <c r="E84" s="183"/>
      <c r="F84" s="183"/>
    </row>
    <row r="85" spans="1:6" ht="15.75">
      <c r="A85" s="183"/>
      <c r="B85" s="183"/>
      <c r="C85" s="183"/>
      <c r="D85" s="183"/>
      <c r="E85" s="183"/>
      <c r="F85" s="183"/>
    </row>
    <row r="86" spans="1:6" ht="15.75">
      <c r="A86" s="183"/>
      <c r="B86" s="183"/>
      <c r="C86" s="183"/>
      <c r="D86" s="183"/>
      <c r="E86" s="183"/>
      <c r="F86" s="183"/>
    </row>
    <row r="87" spans="1:6" ht="15.75">
      <c r="A87" s="183"/>
      <c r="B87" s="183"/>
      <c r="C87" s="183"/>
      <c r="D87" s="183"/>
      <c r="E87" s="183"/>
      <c r="F87" s="183"/>
    </row>
    <row r="88" spans="1:6" ht="15.75">
      <c r="A88" s="183"/>
      <c r="B88" s="183"/>
      <c r="C88" s="183"/>
      <c r="D88" s="183"/>
      <c r="E88" s="183"/>
      <c r="F88" s="183"/>
    </row>
    <row r="89" spans="1:6" ht="15.75">
      <c r="A89" s="183"/>
      <c r="B89" s="183"/>
      <c r="C89" s="183"/>
      <c r="D89" s="183"/>
      <c r="E89" s="183"/>
      <c r="F89" s="183"/>
    </row>
    <row r="90" spans="1:6" ht="15.75">
      <c r="A90" s="183"/>
      <c r="B90" s="183"/>
      <c r="C90" s="183"/>
      <c r="D90" s="183"/>
      <c r="E90" s="183"/>
      <c r="F90" s="183"/>
    </row>
    <row r="91" spans="1:6" ht="15.75">
      <c r="A91" s="183"/>
      <c r="B91" s="183"/>
      <c r="C91" s="183"/>
      <c r="D91" s="183"/>
      <c r="E91" s="183"/>
      <c r="F91" s="183"/>
    </row>
    <row r="92" spans="1:6" ht="15.75">
      <c r="A92" s="183"/>
      <c r="B92" s="183"/>
      <c r="C92" s="183"/>
      <c r="D92" s="183"/>
      <c r="E92" s="183"/>
      <c r="F92" s="183"/>
    </row>
    <row r="93" spans="1:6" ht="15.75">
      <c r="A93" s="183"/>
      <c r="B93" s="183"/>
      <c r="C93" s="183"/>
      <c r="D93" s="183"/>
      <c r="E93" s="183"/>
      <c r="F93" s="183"/>
    </row>
    <row r="94" spans="1:6" ht="15.75">
      <c r="A94" s="183"/>
      <c r="B94" s="183"/>
      <c r="C94" s="183"/>
      <c r="D94" s="183"/>
      <c r="E94" s="183"/>
      <c r="F94" s="183"/>
    </row>
    <row r="95" spans="1:6" ht="15.75">
      <c r="A95" s="183"/>
      <c r="B95" s="183"/>
      <c r="C95" s="183"/>
      <c r="D95" s="183"/>
      <c r="E95" s="183"/>
      <c r="F95" s="183"/>
    </row>
    <row r="96" spans="1:6" ht="15.75">
      <c r="A96" s="183"/>
      <c r="B96" s="183"/>
      <c r="C96" s="183"/>
      <c r="D96" s="183"/>
      <c r="E96" s="183"/>
      <c r="F96" s="183"/>
    </row>
    <row r="97" spans="1:6" ht="15.75">
      <c r="A97" s="183"/>
      <c r="B97" s="183"/>
      <c r="C97" s="183"/>
      <c r="D97" s="183"/>
      <c r="E97" s="183"/>
      <c r="F97" s="183"/>
    </row>
    <row r="98" spans="1:6" ht="15.75">
      <c r="A98" s="183"/>
      <c r="B98" s="183"/>
      <c r="C98" s="183"/>
      <c r="D98" s="183"/>
      <c r="E98" s="183"/>
      <c r="F98" s="183"/>
    </row>
    <row r="99" spans="1:6" ht="15.75">
      <c r="A99" s="183"/>
      <c r="B99" s="183"/>
      <c r="C99" s="183"/>
      <c r="D99" s="183"/>
      <c r="E99" s="183"/>
      <c r="F99" s="183"/>
    </row>
    <row r="100" spans="1:6" ht="15.75">
      <c r="A100" s="183"/>
      <c r="B100" s="183"/>
      <c r="C100" s="183"/>
      <c r="D100" s="183"/>
      <c r="E100" s="183"/>
      <c r="F100" s="183"/>
    </row>
    <row r="101" spans="1:6" ht="15.75">
      <c r="A101" s="183"/>
      <c r="B101" s="183"/>
      <c r="C101" s="183"/>
      <c r="D101" s="183"/>
      <c r="E101" s="183"/>
      <c r="F101" s="183"/>
    </row>
    <row r="102" spans="1:6" ht="15.75">
      <c r="A102" s="183"/>
      <c r="B102" s="183"/>
      <c r="C102" s="183"/>
      <c r="D102" s="183"/>
      <c r="E102" s="183"/>
      <c r="F102" s="183"/>
    </row>
    <row r="103" spans="1:6" ht="15.75">
      <c r="A103" s="183"/>
      <c r="B103" s="183"/>
      <c r="C103" s="183"/>
      <c r="D103" s="183"/>
      <c r="E103" s="183"/>
      <c r="F103" s="183"/>
    </row>
    <row r="104" spans="1:6" ht="15.75">
      <c r="A104" s="183"/>
      <c r="B104" s="183"/>
      <c r="C104" s="183"/>
      <c r="D104" s="183"/>
      <c r="E104" s="183"/>
      <c r="F104" s="183"/>
    </row>
    <row r="105" spans="1:6" ht="15.75">
      <c r="A105" s="183"/>
      <c r="B105" s="183"/>
      <c r="C105" s="183"/>
      <c r="D105" s="183"/>
      <c r="E105" s="183"/>
      <c r="F105" s="183"/>
    </row>
    <row r="106" spans="1:6" ht="15.75">
      <c r="A106" s="183"/>
      <c r="B106" s="183"/>
      <c r="C106" s="183"/>
      <c r="D106" s="183"/>
      <c r="E106" s="183"/>
      <c r="F106" s="183"/>
    </row>
    <row r="107" spans="1:6" ht="15.75">
      <c r="A107" s="183"/>
      <c r="B107" s="183"/>
      <c r="C107" s="183"/>
      <c r="D107" s="183"/>
      <c r="E107" s="183"/>
      <c r="F107" s="183"/>
    </row>
    <row r="108" spans="1:6" ht="15.75">
      <c r="A108" s="183"/>
      <c r="B108" s="183"/>
      <c r="C108" s="183"/>
      <c r="D108" s="183"/>
      <c r="E108" s="183"/>
      <c r="F108" s="183"/>
    </row>
    <row r="109" spans="1:6" ht="15.75">
      <c r="A109" s="183"/>
      <c r="B109" s="183"/>
      <c r="C109" s="183"/>
      <c r="D109" s="183"/>
      <c r="E109" s="183"/>
      <c r="F109" s="183"/>
    </row>
    <row r="110" spans="1:6" ht="15.75">
      <c r="A110" s="183"/>
      <c r="B110" s="183"/>
      <c r="C110" s="183"/>
      <c r="D110" s="183"/>
      <c r="E110" s="183"/>
      <c r="F110" s="183"/>
    </row>
    <row r="111" spans="1:6" ht="15.75">
      <c r="A111" s="183"/>
      <c r="B111" s="183"/>
      <c r="C111" s="183"/>
      <c r="D111" s="183"/>
      <c r="E111" s="183"/>
      <c r="F111" s="183"/>
    </row>
    <row r="112" spans="1:6" ht="15.75">
      <c r="A112" s="183"/>
      <c r="B112" s="183"/>
      <c r="C112" s="183"/>
      <c r="D112" s="183"/>
      <c r="E112" s="183"/>
      <c r="F112" s="183"/>
    </row>
    <row r="113" spans="1:6" ht="15.75">
      <c r="A113" s="183"/>
      <c r="B113" s="183"/>
      <c r="C113" s="183"/>
      <c r="D113" s="183"/>
      <c r="E113" s="183"/>
      <c r="F113" s="183"/>
    </row>
    <row r="114" spans="1:6" ht="15.75">
      <c r="A114" s="183"/>
      <c r="B114" s="183"/>
      <c r="C114" s="183"/>
      <c r="D114" s="183"/>
      <c r="E114" s="183"/>
      <c r="F114" s="183"/>
    </row>
    <row r="115" spans="1:6" ht="15.75">
      <c r="A115" s="183"/>
      <c r="B115" s="183"/>
      <c r="C115" s="183"/>
      <c r="D115" s="183"/>
      <c r="E115" s="183"/>
      <c r="F115" s="183"/>
    </row>
    <row r="116" spans="1:6" ht="15.75">
      <c r="A116" s="183"/>
      <c r="B116" s="183"/>
      <c r="C116" s="183"/>
      <c r="D116" s="183"/>
      <c r="E116" s="183"/>
      <c r="F116" s="183"/>
    </row>
    <row r="117" spans="1:6" ht="15.75">
      <c r="A117" s="183"/>
      <c r="B117" s="183"/>
      <c r="C117" s="183"/>
      <c r="D117" s="183"/>
      <c r="E117" s="183"/>
      <c r="F117" s="183"/>
    </row>
    <row r="118" spans="1:6" ht="15.75">
      <c r="A118" s="183"/>
      <c r="B118" s="183"/>
      <c r="C118" s="183"/>
      <c r="D118" s="183"/>
      <c r="E118" s="183"/>
      <c r="F118" s="183"/>
    </row>
    <row r="119" spans="1:6" ht="15.75">
      <c r="A119" s="183"/>
      <c r="B119" s="183"/>
      <c r="C119" s="183"/>
      <c r="D119" s="183"/>
      <c r="E119" s="183"/>
      <c r="F119" s="183"/>
    </row>
    <row r="120" spans="1:6" ht="15.75">
      <c r="A120" s="183"/>
      <c r="B120" s="183"/>
      <c r="C120" s="183"/>
      <c r="D120" s="183"/>
      <c r="E120" s="183"/>
      <c r="F120" s="183"/>
    </row>
    <row r="121" spans="1:6" ht="15.75">
      <c r="A121" s="183"/>
      <c r="B121" s="183"/>
      <c r="C121" s="183"/>
      <c r="D121" s="183"/>
      <c r="E121" s="183"/>
      <c r="F121" s="183"/>
    </row>
    <row r="122" spans="1:6" ht="15.75">
      <c r="A122" s="183"/>
      <c r="B122" s="183"/>
      <c r="C122" s="183"/>
      <c r="D122" s="183"/>
      <c r="E122" s="183"/>
      <c r="F122" s="183"/>
    </row>
    <row r="123" spans="1:6" ht="15.75">
      <c r="A123" s="183"/>
      <c r="B123" s="183"/>
      <c r="C123" s="183"/>
      <c r="D123" s="183"/>
      <c r="E123" s="183"/>
      <c r="F123" s="183"/>
    </row>
    <row r="124" spans="1:6" ht="15.75">
      <c r="A124" s="183"/>
      <c r="B124" s="183"/>
      <c r="C124" s="183"/>
      <c r="D124" s="183"/>
      <c r="E124" s="183"/>
      <c r="F124" s="183"/>
    </row>
    <row r="125" spans="1:6" ht="15.75">
      <c r="A125" s="183"/>
      <c r="B125" s="183"/>
      <c r="C125" s="183"/>
      <c r="D125" s="183"/>
      <c r="E125" s="183"/>
      <c r="F125" s="183"/>
    </row>
    <row r="126" spans="1:6" ht="15.75">
      <c r="A126" s="183"/>
      <c r="B126" s="183"/>
      <c r="C126" s="183"/>
      <c r="D126" s="183"/>
      <c r="E126" s="183"/>
      <c r="F126" s="183"/>
    </row>
    <row r="127" spans="1:6" ht="15.75">
      <c r="A127" s="183"/>
      <c r="B127" s="183"/>
      <c r="C127" s="183"/>
      <c r="D127" s="183"/>
      <c r="E127" s="183"/>
      <c r="F127" s="183"/>
    </row>
    <row r="128" spans="1:6" ht="15.75">
      <c r="A128" s="183"/>
      <c r="B128" s="183"/>
      <c r="C128" s="183"/>
      <c r="D128" s="183"/>
      <c r="E128" s="183"/>
      <c r="F128" s="183"/>
    </row>
    <row r="129" spans="1:6" ht="15.75">
      <c r="A129" s="183"/>
      <c r="B129" s="183"/>
      <c r="C129" s="183"/>
      <c r="D129" s="183"/>
      <c r="E129" s="183"/>
      <c r="F129" s="183"/>
    </row>
    <row r="130" spans="1:6" ht="15.75">
      <c r="A130" s="183"/>
      <c r="B130" s="183"/>
      <c r="C130" s="183"/>
      <c r="D130" s="183"/>
      <c r="E130" s="183"/>
      <c r="F130" s="183"/>
    </row>
    <row r="131" spans="1:6" ht="15.75">
      <c r="A131" s="183"/>
      <c r="B131" s="183"/>
      <c r="C131" s="183"/>
      <c r="D131" s="183"/>
      <c r="E131" s="183"/>
      <c r="F131" s="183"/>
    </row>
    <row r="132" spans="1:6" ht="15.75">
      <c r="A132" s="183"/>
      <c r="B132" s="183"/>
      <c r="C132" s="183"/>
      <c r="D132" s="183"/>
      <c r="E132" s="183"/>
      <c r="F132" s="183"/>
    </row>
    <row r="133" spans="1:6" ht="15.75">
      <c r="A133" s="183"/>
      <c r="B133" s="183"/>
      <c r="C133" s="183"/>
      <c r="D133" s="183"/>
      <c r="E133" s="183"/>
      <c r="F133" s="183"/>
    </row>
    <row r="134" spans="1:6" ht="15.75">
      <c r="A134" s="183"/>
      <c r="B134" s="183"/>
      <c r="C134" s="183"/>
      <c r="D134" s="183"/>
      <c r="E134" s="183"/>
      <c r="F134" s="183"/>
    </row>
    <row r="135" spans="1:6" ht="15.75">
      <c r="A135" s="183"/>
      <c r="B135" s="183"/>
      <c r="C135" s="183"/>
      <c r="D135" s="183"/>
      <c r="E135" s="183"/>
      <c r="F135" s="183"/>
    </row>
    <row r="136" spans="1:6" ht="15.75">
      <c r="A136" s="183"/>
      <c r="B136" s="183"/>
      <c r="C136" s="183"/>
      <c r="D136" s="183"/>
      <c r="E136" s="183"/>
      <c r="F136" s="183"/>
    </row>
    <row r="137" spans="1:6" ht="15.75">
      <c r="A137" s="183"/>
      <c r="B137" s="183"/>
      <c r="C137" s="183"/>
      <c r="D137" s="183"/>
      <c r="E137" s="183"/>
      <c r="F137" s="183"/>
    </row>
    <row r="138" spans="1:6" ht="15.75">
      <c r="A138" s="183"/>
      <c r="B138" s="183"/>
      <c r="C138" s="183"/>
      <c r="D138" s="183"/>
      <c r="E138" s="183"/>
      <c r="F138" s="183"/>
    </row>
  </sheetData>
  <mergeCells count="26">
    <mergeCell ref="A59:B59"/>
    <mergeCell ref="A60:B60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opLeftCell="A16" zoomScaleNormal="100" workbookViewId="0">
      <selection activeCell="B10" sqref="B10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1.25" style="2" customWidth="1"/>
    <col min="12" max="12" width="14.875" style="2" customWidth="1"/>
    <col min="13" max="13" width="10.25" style="2" customWidth="1"/>
    <col min="14" max="14" width="14" style="2" bestFit="1" customWidth="1"/>
    <col min="15" max="15" width="10.75" style="2" bestFit="1" customWidth="1"/>
    <col min="16" max="16" width="10.25" style="2" customWidth="1"/>
    <col min="17" max="17" width="11.5" style="2" customWidth="1"/>
    <col min="18" max="18" width="11.125" style="2" bestFit="1" customWidth="1"/>
    <col min="19" max="19" width="15" style="2" customWidth="1"/>
    <col min="20" max="20" width="11.875" style="2" customWidth="1"/>
    <col min="21" max="21" width="12.5" style="2" bestFit="1" customWidth="1"/>
    <col min="22" max="22" width="12.5" style="2" customWidth="1"/>
    <col min="23" max="23" width="12.5" style="2" bestFit="1" customWidth="1"/>
    <col min="24" max="24" width="11.125" style="2" bestFit="1" customWidth="1"/>
    <col min="25" max="26" width="12.625" style="2" customWidth="1"/>
    <col min="27" max="27" width="14.75" style="2" customWidth="1"/>
    <col min="28" max="28" width="14.125" style="2" customWidth="1"/>
    <col min="29" max="29" width="12.5" style="2" bestFit="1" customWidth="1"/>
    <col min="30" max="30" width="14" style="2" customWidth="1"/>
    <col min="31" max="31" width="13.375" style="2" customWidth="1"/>
    <col min="32" max="32" width="11.875" style="2" customWidth="1"/>
    <col min="33" max="33" width="12.75" style="2" customWidth="1"/>
    <col min="34" max="34" width="9" style="2"/>
    <col min="35" max="35" width="14.125" style="2" customWidth="1"/>
    <col min="36" max="36" width="9" style="2"/>
    <col min="37" max="37" width="13.5" style="2" customWidth="1"/>
    <col min="38" max="16384" width="9" style="2"/>
  </cols>
  <sheetData>
    <row r="1" spans="1:32" ht="15.95" customHeight="1">
      <c r="E1" s="3"/>
      <c r="F1" s="196" t="s">
        <v>23</v>
      </c>
    </row>
    <row r="2" spans="1:32" ht="15.95" customHeight="1">
      <c r="E2" s="3"/>
      <c r="F2" s="196" t="s">
        <v>56</v>
      </c>
    </row>
    <row r="3" spans="1:32" ht="15.95" customHeight="1">
      <c r="B3" s="202" t="s">
        <v>43</v>
      </c>
      <c r="C3" s="202"/>
      <c r="D3" s="202"/>
      <c r="E3" s="3"/>
      <c r="F3" s="196" t="s">
        <v>57</v>
      </c>
    </row>
    <row r="4" spans="1:32" ht="15.95" customHeight="1">
      <c r="E4" s="3"/>
      <c r="F4" s="196" t="s">
        <v>58</v>
      </c>
    </row>
    <row r="5" spans="1:32" ht="15.95" customHeight="1">
      <c r="E5" s="3"/>
      <c r="F5" s="196" t="s">
        <v>24</v>
      </c>
    </row>
    <row r="6" spans="1:32" ht="16.5">
      <c r="A6" s="4"/>
      <c r="B6" s="4"/>
      <c r="C6" s="4"/>
      <c r="D6" s="5"/>
      <c r="E6" s="5"/>
      <c r="F6" s="197"/>
    </row>
    <row r="7" spans="1:32" ht="15.75">
      <c r="D7" s="3"/>
      <c r="E7" s="3"/>
    </row>
    <row r="8" spans="1:32" ht="19.5" customHeight="1">
      <c r="A8" s="182" t="s">
        <v>225</v>
      </c>
      <c r="B8" s="183" t="s">
        <v>39</v>
      </c>
      <c r="C8" s="183"/>
      <c r="D8" s="183"/>
      <c r="E8" s="183"/>
      <c r="F8" s="183"/>
    </row>
    <row r="9" spans="1:32" ht="19.5" customHeight="1">
      <c r="A9" s="182" t="s">
        <v>226</v>
      </c>
      <c r="B9" s="183" t="s">
        <v>98</v>
      </c>
      <c r="C9" s="183"/>
      <c r="D9" s="183"/>
      <c r="E9" s="183"/>
      <c r="F9" s="183"/>
    </row>
    <row r="10" spans="1:32" ht="19.5" customHeight="1">
      <c r="A10" s="182" t="s">
        <v>227</v>
      </c>
      <c r="B10" s="184">
        <v>41289</v>
      </c>
      <c r="C10" s="183"/>
      <c r="D10" s="183"/>
      <c r="E10" s="183"/>
      <c r="F10" s="183"/>
    </row>
    <row r="11" spans="1:32" ht="19.5" customHeight="1">
      <c r="A11" s="182" t="s">
        <v>228</v>
      </c>
      <c r="B11" s="183" t="s">
        <v>218</v>
      </c>
      <c r="C11" s="183"/>
      <c r="D11" s="183"/>
      <c r="E11" s="183"/>
      <c r="F11" s="183"/>
    </row>
    <row r="12" spans="1:32" ht="15" customHeight="1">
      <c r="A12" s="182"/>
      <c r="B12" s="183"/>
      <c r="C12" s="183"/>
      <c r="D12" s="183"/>
      <c r="E12" s="183"/>
      <c r="F12" s="183"/>
    </row>
    <row r="13" spans="1:32" ht="9" customHeight="1">
      <c r="A13" s="203"/>
      <c r="B13" s="203"/>
      <c r="C13" s="203"/>
      <c r="D13" s="203"/>
      <c r="E13" s="203"/>
      <c r="F13" s="203"/>
    </row>
    <row r="14" spans="1:32" ht="18.75" customHeight="1">
      <c r="A14" s="204" t="s">
        <v>29</v>
      </c>
      <c r="B14" s="204"/>
      <c r="C14" s="204"/>
      <c r="D14" s="204"/>
      <c r="E14" s="204"/>
      <c r="F14" s="204"/>
    </row>
    <row r="15" spans="1:32" ht="9" customHeight="1">
      <c r="A15" s="183"/>
      <c r="B15" s="183"/>
      <c r="C15" s="183"/>
      <c r="D15" s="183"/>
      <c r="E15" s="183"/>
      <c r="F15" s="183"/>
      <c r="N15" s="134"/>
      <c r="O15" s="134"/>
      <c r="P15" s="134"/>
      <c r="Q15" s="134"/>
    </row>
    <row r="16" spans="1:32" ht="39">
      <c r="A16" s="205"/>
      <c r="B16" s="205"/>
      <c r="C16" s="185" t="s">
        <v>221</v>
      </c>
      <c r="D16" s="185" t="s">
        <v>219</v>
      </c>
      <c r="E16" s="185" t="s">
        <v>25</v>
      </c>
      <c r="F16" s="185" t="s">
        <v>229</v>
      </c>
      <c r="G16" s="10">
        <v>0.25</v>
      </c>
      <c r="H16" s="2" t="s">
        <v>44</v>
      </c>
      <c r="I16" s="10">
        <v>0.25</v>
      </c>
      <c r="K16" s="9" t="s">
        <v>221</v>
      </c>
      <c r="L16" s="9" t="s">
        <v>220</v>
      </c>
      <c r="M16" s="9">
        <v>2013</v>
      </c>
      <c r="N16" s="9" t="s">
        <v>183</v>
      </c>
      <c r="O16" s="9" t="s">
        <v>222</v>
      </c>
      <c r="P16" s="9">
        <v>2012</v>
      </c>
      <c r="Q16" s="9" t="s">
        <v>143</v>
      </c>
      <c r="R16" s="9" t="s">
        <v>185</v>
      </c>
      <c r="S16" s="9" t="s">
        <v>187</v>
      </c>
      <c r="T16" s="9">
        <v>2011</v>
      </c>
      <c r="U16" s="9" t="s">
        <v>99</v>
      </c>
      <c r="V16" s="9" t="s">
        <v>141</v>
      </c>
      <c r="W16" s="9" t="s">
        <v>142</v>
      </c>
      <c r="X16" s="9">
        <v>2010</v>
      </c>
      <c r="Y16" s="9" t="s">
        <v>1</v>
      </c>
      <c r="Z16" s="9" t="s">
        <v>110</v>
      </c>
      <c r="AA16" s="9" t="s">
        <v>113</v>
      </c>
      <c r="AB16" s="9">
        <v>2009</v>
      </c>
      <c r="AC16" s="9" t="s">
        <v>111</v>
      </c>
      <c r="AD16" s="9" t="s">
        <v>112</v>
      </c>
      <c r="AE16" s="9" t="s">
        <v>114</v>
      </c>
      <c r="AF16" s="9">
        <v>2008</v>
      </c>
    </row>
    <row r="17" spans="1:32" ht="15.75" customHeight="1">
      <c r="A17" s="201" t="s">
        <v>26</v>
      </c>
      <c r="B17" s="201"/>
      <c r="C17" s="186">
        <f>K17</f>
        <v>127714748</v>
      </c>
      <c r="D17" s="186">
        <f>L17</f>
        <v>72053983</v>
      </c>
      <c r="E17" s="187">
        <f t="shared" ref="E17:E24" si="0">(D17/C17)</f>
        <v>0.56417903279267323</v>
      </c>
      <c r="F17" s="188">
        <f t="shared" ref="F17:F23" si="1">D17-G17</f>
        <v>40125296</v>
      </c>
      <c r="G17" s="14">
        <f>C17*0.25</f>
        <v>31928687</v>
      </c>
      <c r="H17" s="15">
        <f t="shared" ref="H17:H23" si="2">C17-D17</f>
        <v>55660765</v>
      </c>
      <c r="I17" s="10">
        <v>0.25</v>
      </c>
      <c r="J17" s="21" t="str">
        <f>A17</f>
        <v>Current / Delinquent Taxes</v>
      </c>
      <c r="K17" s="176">
        <v>127714748</v>
      </c>
      <c r="L17" s="176">
        <v>72053983</v>
      </c>
      <c r="M17" s="178">
        <f>L17/K17</f>
        <v>0.56417903279267323</v>
      </c>
      <c r="N17" s="165">
        <v>124011587</v>
      </c>
      <c r="O17" s="165">
        <v>54747327</v>
      </c>
      <c r="P17" s="171">
        <f t="shared" ref="P17:P24" si="3">O17/N17</f>
        <v>0.441469449141071</v>
      </c>
      <c r="Q17" s="161">
        <v>130863490</v>
      </c>
      <c r="R17" s="161">
        <v>74294017</v>
      </c>
      <c r="S17" s="161">
        <v>131364776</v>
      </c>
      <c r="T17" s="12">
        <f>R17/S17</f>
        <v>0.56555508456848436</v>
      </c>
      <c r="U17" s="11">
        <v>130450730</v>
      </c>
      <c r="V17" s="11">
        <v>61761935.259999998</v>
      </c>
      <c r="W17" s="166">
        <v>130271144</v>
      </c>
      <c r="X17" s="12">
        <f t="shared" ref="X17:X24" si="4">(V17/W17)</f>
        <v>0.47410296220320286</v>
      </c>
      <c r="Y17" s="11">
        <f>'FY 2009 Rev 01-04-10'!E3</f>
        <v>119221816</v>
      </c>
      <c r="Z17" s="11">
        <f>SUM('FY 2009 Rev 01-04-10'!F3:H3)</f>
        <v>52785336.5</v>
      </c>
      <c r="AA17" s="11">
        <v>119981009</v>
      </c>
      <c r="AB17" s="12">
        <f t="shared" ref="AB17:AB24" si="5">Z17/AA17</f>
        <v>0.43994742951361576</v>
      </c>
      <c r="AC17" s="11">
        <f>'FY 2008 Rev 01-04-10'!E3</f>
        <v>106565989</v>
      </c>
      <c r="AD17" s="11">
        <f>SUM('FY 2008 Rev 01-04-10'!F3:H3)</f>
        <v>52307073</v>
      </c>
      <c r="AE17" s="11">
        <f>'FY 2008 Rev 01-04-10'!D3</f>
        <v>117399101.34999999</v>
      </c>
      <c r="AF17" s="12">
        <f t="shared" ref="AF17:AF24" si="6">AD17/AE17</f>
        <v>0.4455491771104601</v>
      </c>
    </row>
    <row r="18" spans="1:32" ht="15.75" customHeight="1">
      <c r="A18" s="201" t="s">
        <v>102</v>
      </c>
      <c r="B18" s="201"/>
      <c r="C18" s="189">
        <f t="shared" ref="C18:C23" si="7">K18</f>
        <v>279000</v>
      </c>
      <c r="D18" s="189">
        <f t="shared" ref="D18:D23" si="8">L18</f>
        <v>25220</v>
      </c>
      <c r="E18" s="187">
        <f>(D18/C18)</f>
        <v>9.0394265232974905E-2</v>
      </c>
      <c r="F18" s="189">
        <f>D18-G18</f>
        <v>-44530</v>
      </c>
      <c r="G18" s="14">
        <f>C18*0.25</f>
        <v>69750</v>
      </c>
      <c r="H18" s="15">
        <f t="shared" si="2"/>
        <v>253780</v>
      </c>
      <c r="I18" s="10">
        <v>0.25</v>
      </c>
      <c r="J18" s="21" t="str">
        <f t="shared" ref="J18:J23" si="9">A18</f>
        <v>License / Permits</v>
      </c>
      <c r="K18" s="176">
        <v>279000</v>
      </c>
      <c r="L18" s="176">
        <v>25220</v>
      </c>
      <c r="M18" s="178">
        <f t="shared" ref="M18:M24" si="10">L18/K18</f>
        <v>9.0394265232974905E-2</v>
      </c>
      <c r="N18" s="165">
        <v>4000</v>
      </c>
      <c r="O18" s="165">
        <v>2500</v>
      </c>
      <c r="P18" s="171">
        <f t="shared" si="3"/>
        <v>0.625</v>
      </c>
      <c r="Q18" s="161">
        <v>4000</v>
      </c>
      <c r="R18" s="161">
        <v>1500</v>
      </c>
      <c r="S18" s="161">
        <v>6000</v>
      </c>
      <c r="T18" s="12">
        <f t="shared" ref="T18:T24" si="11">R18/S18</f>
        <v>0.25</v>
      </c>
      <c r="U18" s="16">
        <f>C18</f>
        <v>279000</v>
      </c>
      <c r="V18" s="28">
        <v>500</v>
      </c>
      <c r="W18" s="165">
        <v>2500</v>
      </c>
      <c r="X18" s="12">
        <f t="shared" si="4"/>
        <v>0.2</v>
      </c>
      <c r="Y18" s="28">
        <f>'FY 2009 Rev 01-04-10'!E6</f>
        <v>4000</v>
      </c>
      <c r="Z18" s="28">
        <f>SUM('FY 2009 Rev 01-04-10'!F6:H6)</f>
        <v>1000</v>
      </c>
      <c r="AA18" s="28">
        <f>'FY 2009 Rev 01-04-10'!D6</f>
        <v>4000</v>
      </c>
      <c r="AB18" s="12">
        <f t="shared" si="5"/>
        <v>0.25</v>
      </c>
      <c r="AC18" s="28">
        <f>'FY 2008 Rev 01-04-10'!E6</f>
        <v>4200</v>
      </c>
      <c r="AD18" s="28">
        <f>SUM('FY 2008 Rev 01-04-10'!F6:H6)</f>
        <v>1000</v>
      </c>
      <c r="AE18" s="28">
        <f>'FY 2008 Rev 01-04-10'!D6</f>
        <v>4000</v>
      </c>
      <c r="AF18" s="12">
        <f t="shared" si="6"/>
        <v>0.25</v>
      </c>
    </row>
    <row r="19" spans="1:32" ht="15.75" customHeight="1">
      <c r="A19" s="201" t="s">
        <v>55</v>
      </c>
      <c r="B19" s="201"/>
      <c r="C19" s="189">
        <f t="shared" si="7"/>
        <v>3825422</v>
      </c>
      <c r="D19" s="189">
        <f t="shared" si="8"/>
        <v>276647</v>
      </c>
      <c r="E19" s="187">
        <f t="shared" si="0"/>
        <v>7.2318034454760802E-2</v>
      </c>
      <c r="F19" s="189">
        <f t="shared" si="1"/>
        <v>-679708.5</v>
      </c>
      <c r="G19" s="27">
        <f t="shared" ref="G19:G24" si="12">C19*0.25</f>
        <v>956355.5</v>
      </c>
      <c r="H19" s="27">
        <f t="shared" si="2"/>
        <v>3548775</v>
      </c>
      <c r="I19" s="10">
        <v>0.25</v>
      </c>
      <c r="J19" s="21" t="str">
        <f t="shared" si="9"/>
        <v>Intergovernmental Revenue</v>
      </c>
      <c r="K19" s="176">
        <v>3825422</v>
      </c>
      <c r="L19" s="176">
        <f>12200+53957+210490</f>
        <v>276647</v>
      </c>
      <c r="M19" s="178">
        <f t="shared" si="10"/>
        <v>7.2318034454760802E-2</v>
      </c>
      <c r="N19" s="165">
        <v>3186800</v>
      </c>
      <c r="O19" s="165">
        <v>1528534</v>
      </c>
      <c r="P19" s="171">
        <f t="shared" si="3"/>
        <v>0.47964541232584412</v>
      </c>
      <c r="Q19" s="161">
        <v>3312377</v>
      </c>
      <c r="R19" s="161">
        <f>3800+197798.63</f>
        <v>201598.63</v>
      </c>
      <c r="S19" s="161">
        <v>3356039</v>
      </c>
      <c r="T19" s="12">
        <f t="shared" si="11"/>
        <v>6.0070407405873411E-2</v>
      </c>
      <c r="U19" s="16">
        <v>3547135</v>
      </c>
      <c r="V19" s="28">
        <v>128087.4</v>
      </c>
      <c r="W19" s="165">
        <v>3908666</v>
      </c>
      <c r="X19" s="12">
        <f t="shared" si="4"/>
        <v>3.2770106220383115E-2</v>
      </c>
      <c r="Y19" s="28">
        <f>'FY 2009 Rev 01-04-10'!E11</f>
        <v>3678780</v>
      </c>
      <c r="Z19" s="28">
        <f>SUM('FY 2009 Rev 01-04-10'!F11:H11)</f>
        <v>245038.35</v>
      </c>
      <c r="AA19" s="28">
        <f>'FY 2009 Rev 01-04-10'!D11</f>
        <v>3992954.02</v>
      </c>
      <c r="AB19" s="12">
        <f t="shared" si="5"/>
        <v>6.1367686372707092E-2</v>
      </c>
      <c r="AC19" s="28">
        <f>'FY 2008 Rev 01-04-10'!E11</f>
        <v>3079080</v>
      </c>
      <c r="AD19" s="28">
        <f>SUM('FY 2008 Rev 01-04-10'!F11:H11)</f>
        <v>568863.37</v>
      </c>
      <c r="AE19" s="28">
        <f>'FY 2008 Rev 01-04-10'!D11</f>
        <v>3979230.29</v>
      </c>
      <c r="AF19" s="12">
        <f t="shared" si="6"/>
        <v>0.14295814228937226</v>
      </c>
    </row>
    <row r="20" spans="1:32" ht="15.75" customHeight="1">
      <c r="A20" s="201" t="s">
        <v>2</v>
      </c>
      <c r="B20" s="201"/>
      <c r="C20" s="189">
        <f t="shared" si="7"/>
        <v>18262850</v>
      </c>
      <c r="D20" s="189">
        <f t="shared" si="8"/>
        <v>4157504</v>
      </c>
      <c r="E20" s="187">
        <f t="shared" si="0"/>
        <v>0.22764814911144757</v>
      </c>
      <c r="F20" s="189">
        <f t="shared" si="1"/>
        <v>-408208.5</v>
      </c>
      <c r="G20" s="27">
        <f t="shared" si="12"/>
        <v>4565712.5</v>
      </c>
      <c r="H20" s="27">
        <f t="shared" si="2"/>
        <v>14105346</v>
      </c>
      <c r="I20" s="10">
        <v>0.25</v>
      </c>
      <c r="J20" s="21" t="str">
        <f t="shared" si="9"/>
        <v>Fees/Charges for Services</v>
      </c>
      <c r="K20" s="176">
        <v>18262850</v>
      </c>
      <c r="L20" s="176">
        <f>1148788+1178162+1715509+6860+108185</f>
        <v>4157504</v>
      </c>
      <c r="M20" s="178">
        <f t="shared" si="10"/>
        <v>0.22764814911144757</v>
      </c>
      <c r="N20" s="165">
        <v>16144661</v>
      </c>
      <c r="O20" s="165">
        <v>3525127</v>
      </c>
      <c r="P20" s="171">
        <f t="shared" si="3"/>
        <v>0.21834630036517955</v>
      </c>
      <c r="Q20" s="161">
        <v>15205012</v>
      </c>
      <c r="R20" s="161">
        <f>1087572+895622+1413119+9300+52967</f>
        <v>3458580</v>
      </c>
      <c r="S20" s="161">
        <v>15750927</v>
      </c>
      <c r="T20" s="12">
        <f t="shared" si="11"/>
        <v>0.219579457132904</v>
      </c>
      <c r="U20" s="16">
        <v>16957104</v>
      </c>
      <c r="V20" s="28">
        <v>2965404.33</v>
      </c>
      <c r="W20" s="165">
        <v>15217085</v>
      </c>
      <c r="X20" s="12">
        <f t="shared" si="4"/>
        <v>0.19487334992214345</v>
      </c>
      <c r="Y20" s="28">
        <f>'FY 2009 Rev 01-04-10'!E18</f>
        <v>19143500</v>
      </c>
      <c r="Z20" s="28">
        <f>SUM('FY 2009 Rev 01-04-10'!F18:H18)</f>
        <v>3104705.13</v>
      </c>
      <c r="AA20" s="28">
        <f>'FY 2009 Rev 01-04-10'!D18</f>
        <v>15850676.109999999</v>
      </c>
      <c r="AB20" s="12">
        <f t="shared" si="5"/>
        <v>0.1958720945689679</v>
      </c>
      <c r="AC20" s="28">
        <f>'FY 2008 Rev 01-04-10'!E18</f>
        <v>16631625</v>
      </c>
      <c r="AD20" s="28">
        <f>SUM('FY 2008 Rev 01-04-10'!F18:H18)</f>
        <v>3862473</v>
      </c>
      <c r="AE20" s="28">
        <f>'FY 2008 Rev 01-04-10'!D18</f>
        <v>15930660.34</v>
      </c>
      <c r="AF20" s="12">
        <f t="shared" si="6"/>
        <v>0.24245529799551296</v>
      </c>
    </row>
    <row r="21" spans="1:32" ht="15.75" customHeight="1">
      <c r="A21" s="201" t="s">
        <v>4</v>
      </c>
      <c r="B21" s="201"/>
      <c r="C21" s="189">
        <f t="shared" si="7"/>
        <v>1962155</v>
      </c>
      <c r="D21" s="189">
        <f t="shared" si="8"/>
        <v>550314</v>
      </c>
      <c r="E21" s="187">
        <f t="shared" si="0"/>
        <v>0.28046408158376884</v>
      </c>
      <c r="F21" s="189">
        <f t="shared" si="1"/>
        <v>59775.25</v>
      </c>
      <c r="G21" s="27">
        <f t="shared" si="12"/>
        <v>490538.75</v>
      </c>
      <c r="H21" s="27">
        <f t="shared" si="2"/>
        <v>1411841</v>
      </c>
      <c r="I21" s="10">
        <v>0.25</v>
      </c>
      <c r="J21" s="21" t="str">
        <f t="shared" si="9"/>
        <v>Fines</v>
      </c>
      <c r="K21" s="176">
        <v>1962155</v>
      </c>
      <c r="L21" s="176">
        <v>550314</v>
      </c>
      <c r="M21" s="178">
        <f t="shared" si="10"/>
        <v>0.28046408158376884</v>
      </c>
      <c r="N21" s="165">
        <v>1881000</v>
      </c>
      <c r="O21" s="165">
        <v>432226</v>
      </c>
      <c r="P21" s="171">
        <f t="shared" si="3"/>
        <v>0.2297852206273259</v>
      </c>
      <c r="Q21" s="161">
        <v>1748000</v>
      </c>
      <c r="R21" s="161">
        <v>355150</v>
      </c>
      <c r="S21" s="161">
        <v>1992671</v>
      </c>
      <c r="T21" s="12">
        <f t="shared" si="11"/>
        <v>0.17822811693450649</v>
      </c>
      <c r="U21" s="16">
        <v>2301020</v>
      </c>
      <c r="V21" s="28">
        <v>382802.16</v>
      </c>
      <c r="W21" s="165">
        <v>1821451</v>
      </c>
      <c r="X21" s="12">
        <f t="shared" si="4"/>
        <v>0.21016330387147389</v>
      </c>
      <c r="Y21" s="28">
        <f>'FY 2009 Rev 01-04-10'!E20</f>
        <v>2771000</v>
      </c>
      <c r="Z21" s="28">
        <f>SUM('FY 2009 Rev 01-04-10'!F20:H20)</f>
        <v>513924.79000000004</v>
      </c>
      <c r="AA21" s="28">
        <f>'FY 2009 Rev 01-04-10'!D20</f>
        <v>2270389.13</v>
      </c>
      <c r="AB21" s="12">
        <f t="shared" si="5"/>
        <v>0.22635978265100312</v>
      </c>
      <c r="AC21" s="28">
        <f>'FY 2008 Rev 01-04-10'!E20</f>
        <v>2967500</v>
      </c>
      <c r="AD21" s="28">
        <f>SUM('FY 2008 Rev 01-04-10'!F20:H20)</f>
        <v>563204.65</v>
      </c>
      <c r="AE21" s="28">
        <f>'FY 2008 Rev 01-04-10'!D20</f>
        <v>2688475.7</v>
      </c>
      <c r="AF21" s="12">
        <f t="shared" si="6"/>
        <v>0.20948846589909664</v>
      </c>
    </row>
    <row r="22" spans="1:32" ht="15.75" customHeight="1">
      <c r="A22" s="201" t="s">
        <v>3</v>
      </c>
      <c r="B22" s="201"/>
      <c r="C22" s="189">
        <f t="shared" si="7"/>
        <v>1536481</v>
      </c>
      <c r="D22" s="189">
        <f t="shared" si="8"/>
        <v>118206</v>
      </c>
      <c r="E22" s="187">
        <f t="shared" si="0"/>
        <v>7.6932939619819576E-2</v>
      </c>
      <c r="F22" s="189">
        <f t="shared" si="1"/>
        <v>-265914.25</v>
      </c>
      <c r="G22" s="26">
        <f t="shared" si="12"/>
        <v>384120.25</v>
      </c>
      <c r="H22" s="27">
        <f t="shared" si="2"/>
        <v>1418275</v>
      </c>
      <c r="I22" s="10">
        <v>0.25</v>
      </c>
      <c r="J22" s="21" t="str">
        <f t="shared" si="9"/>
        <v>Investment Revenue</v>
      </c>
      <c r="K22" s="176">
        <v>1536481</v>
      </c>
      <c r="L22" s="176">
        <f>64257+53949</f>
        <v>118206</v>
      </c>
      <c r="M22" s="178">
        <f t="shared" si="10"/>
        <v>7.6932939619819576E-2</v>
      </c>
      <c r="N22" s="165">
        <v>2019600</v>
      </c>
      <c r="O22" s="165">
        <v>175864</v>
      </c>
      <c r="P22" s="171">
        <f t="shared" si="3"/>
        <v>8.7078629431570603E-2</v>
      </c>
      <c r="Q22" s="161">
        <v>1119600</v>
      </c>
      <c r="R22" s="161">
        <f>461048+9251</f>
        <v>470299</v>
      </c>
      <c r="S22" s="161">
        <v>2040386</v>
      </c>
      <c r="T22" s="12">
        <f t="shared" si="11"/>
        <v>0.23049511219935837</v>
      </c>
      <c r="U22" s="16">
        <v>3133290</v>
      </c>
      <c r="V22" s="28">
        <v>300010.57</v>
      </c>
      <c r="W22" s="165">
        <v>2192285</v>
      </c>
      <c r="X22" s="12">
        <f t="shared" si="4"/>
        <v>0.13684834316706085</v>
      </c>
      <c r="Y22" s="28">
        <f>'FY 2009 Rev 01-04-10'!E23</f>
        <v>5168400</v>
      </c>
      <c r="Z22" s="28">
        <f>SUM('FY 2009 Rev 01-04-10'!F23:H23)</f>
        <v>803625.85000000009</v>
      </c>
      <c r="AA22" s="28">
        <v>3458264</v>
      </c>
      <c r="AB22" s="12">
        <f t="shared" si="5"/>
        <v>0.23237839852596565</v>
      </c>
      <c r="AC22" s="28">
        <f>'FY 2008 Rev 01-04-10'!E23</f>
        <v>6994800</v>
      </c>
      <c r="AD22" s="28">
        <f>SUM('FY 2008 Rev 01-04-10'!F23:H23)</f>
        <v>1345073.2</v>
      </c>
      <c r="AE22" s="28">
        <f>'FY 2008 Rev 01-04-10'!D23</f>
        <v>6575786.3600000003</v>
      </c>
      <c r="AF22" s="12">
        <f t="shared" si="6"/>
        <v>0.20454940692446705</v>
      </c>
    </row>
    <row r="23" spans="1:32" ht="15.75" customHeight="1" thickBot="1">
      <c r="A23" s="201" t="s">
        <v>27</v>
      </c>
      <c r="B23" s="201"/>
      <c r="C23" s="189">
        <f t="shared" si="7"/>
        <v>526000</v>
      </c>
      <c r="D23" s="189">
        <f t="shared" si="8"/>
        <v>425640</v>
      </c>
      <c r="E23" s="187">
        <f t="shared" si="0"/>
        <v>0.80920152091254749</v>
      </c>
      <c r="F23" s="189">
        <f t="shared" si="1"/>
        <v>294140</v>
      </c>
      <c r="G23" s="27">
        <f t="shared" si="12"/>
        <v>131500</v>
      </c>
      <c r="H23" s="27">
        <f t="shared" si="2"/>
        <v>100360</v>
      </c>
      <c r="I23" s="10">
        <v>0.25</v>
      </c>
      <c r="J23" s="21" t="str">
        <f t="shared" si="9"/>
        <v>Miscellaneous</v>
      </c>
      <c r="K23" s="177">
        <v>526000</v>
      </c>
      <c r="L23" s="177">
        <f>338637+79506+7497</f>
        <v>425640</v>
      </c>
      <c r="M23" s="179">
        <f t="shared" si="10"/>
        <v>0.80920152091254749</v>
      </c>
      <c r="N23" s="167">
        <v>547000</v>
      </c>
      <c r="O23" s="167">
        <f>39563+18208</f>
        <v>57771</v>
      </c>
      <c r="P23" s="174">
        <f t="shared" si="3"/>
        <v>0.10561425959780621</v>
      </c>
      <c r="Q23" s="162">
        <v>463840</v>
      </c>
      <c r="R23" s="162">
        <v>169386</v>
      </c>
      <c r="S23" s="162">
        <f>735348+26986</f>
        <v>762334</v>
      </c>
      <c r="T23" s="152">
        <f t="shared" si="11"/>
        <v>0.22219394648539878</v>
      </c>
      <c r="U23" s="117">
        <f>519135+45000</f>
        <v>564135</v>
      </c>
      <c r="V23" s="118">
        <v>126744.71</v>
      </c>
      <c r="W23" s="167">
        <f>574051+220348</f>
        <v>794399</v>
      </c>
      <c r="X23" s="152">
        <f t="shared" si="4"/>
        <v>0.1595479223916445</v>
      </c>
      <c r="Y23" s="118">
        <f>'FY 2009 Rev 01-04-10'!E25+'FY 2009 Rev 01-04-10'!E29+'FY 2009 Rev 01-04-10'!E32</f>
        <v>499810</v>
      </c>
      <c r="Z23" s="118">
        <f>SUM('FY 2009 Rev 01-04-10'!F25:H25,'FY 2009 Rev 01-04-10'!F29:H29,'FY 2009 Rev 01-04-10'!F32:H32)</f>
        <v>188898.59</v>
      </c>
      <c r="AA23" s="118">
        <f>797689+241752</f>
        <v>1039441</v>
      </c>
      <c r="AB23" s="152">
        <f t="shared" si="5"/>
        <v>0.18173093999563225</v>
      </c>
      <c r="AC23" s="118">
        <f>'FY 2008 Rev 01-04-10'!E25+'FY 2008 Rev 01-04-10'!E29+'FY 2008 Rev 01-04-10'!E32</f>
        <v>500000</v>
      </c>
      <c r="AD23" s="118">
        <f>SUM('FY 2008 Rev 01-04-10'!F25:H25,'FY 2008 Rev 01-04-10'!F29:H29,'FY 2008 Rev 01-04-10'!F32:H32)</f>
        <v>100219.29</v>
      </c>
      <c r="AE23" s="118">
        <f>'FY 2008 Rev 01-04-10'!D25+'FY 2008 Rev 01-04-10'!D29+'FY 2008 Rev 01-04-10'!D32</f>
        <v>2058982.75</v>
      </c>
      <c r="AF23" s="152">
        <f t="shared" si="6"/>
        <v>4.8674176604927843E-2</v>
      </c>
    </row>
    <row r="24" spans="1:32" ht="15.75" customHeight="1" thickBot="1">
      <c r="A24" s="208" t="s">
        <v>28</v>
      </c>
      <c r="B24" s="208"/>
      <c r="C24" s="186">
        <f>SUM(C17:C23)</f>
        <v>154106656</v>
      </c>
      <c r="D24" s="186">
        <f>SUM(D17:D23)</f>
        <v>77607514</v>
      </c>
      <c r="E24" s="187">
        <f t="shared" si="0"/>
        <v>0.50359611981976948</v>
      </c>
      <c r="F24" s="190">
        <f>SUM(F17:F23)</f>
        <v>39080850</v>
      </c>
      <c r="G24" s="27">
        <f t="shared" si="12"/>
        <v>38526664</v>
      </c>
      <c r="H24" s="27"/>
      <c r="J24" s="21"/>
      <c r="K24" s="172">
        <f>SUM(K17:K23)</f>
        <v>154106656</v>
      </c>
      <c r="L24" s="172">
        <f>SUM(L17:L23)</f>
        <v>77607514</v>
      </c>
      <c r="M24" s="180">
        <f t="shared" si="10"/>
        <v>0.50359611981976948</v>
      </c>
      <c r="N24" s="172">
        <f>SUM(N17:N23)</f>
        <v>147794648</v>
      </c>
      <c r="O24" s="172">
        <f>SUM(O17:O23)</f>
        <v>60469349</v>
      </c>
      <c r="P24" s="173">
        <f t="shared" si="3"/>
        <v>0.40914437578280916</v>
      </c>
      <c r="Q24" s="164">
        <f>SUM(Q17:Q23)</f>
        <v>152716319</v>
      </c>
      <c r="R24" s="160">
        <f>SUM(R17:R23)</f>
        <v>78950530.629999995</v>
      </c>
      <c r="S24" s="160">
        <f>SUM(S17:S23)</f>
        <v>155273133</v>
      </c>
      <c r="T24" s="153">
        <f t="shared" si="11"/>
        <v>0.50846227614921635</v>
      </c>
      <c r="U24" s="116">
        <f>SUM(U17:U23)</f>
        <v>157232414</v>
      </c>
      <c r="V24" s="116">
        <f>SUM(V17:V23)</f>
        <v>65665484.429999992</v>
      </c>
      <c r="W24" s="116">
        <f>SUM(W17:W23)</f>
        <v>154207530</v>
      </c>
      <c r="X24" s="153">
        <f t="shared" si="4"/>
        <v>0.42582540833122734</v>
      </c>
      <c r="Y24" s="116">
        <f>SUM(Y17:Y23)</f>
        <v>150487306</v>
      </c>
      <c r="Z24" s="116">
        <f>SUM(Z17:Z23)</f>
        <v>57642529.210000008</v>
      </c>
      <c r="AA24" s="116">
        <f>SUM(AA17:AA23)</f>
        <v>146596733.25999999</v>
      </c>
      <c r="AB24" s="153">
        <f t="shared" si="5"/>
        <v>0.39320473197562172</v>
      </c>
      <c r="AC24" s="116">
        <f>SUM(AC17:AC23)</f>
        <v>136743194</v>
      </c>
      <c r="AD24" s="116">
        <f>SUM(AD17:AD23)</f>
        <v>58747906.509999998</v>
      </c>
      <c r="AE24" s="116">
        <f>SUM(AE17:AE23)</f>
        <v>148636236.78999999</v>
      </c>
      <c r="AF24" s="153">
        <f t="shared" si="6"/>
        <v>0.39524619149906021</v>
      </c>
    </row>
    <row r="25" spans="1:32" ht="22.5" customHeight="1" thickTop="1">
      <c r="A25" s="183"/>
      <c r="B25" s="183"/>
      <c r="C25" s="183"/>
      <c r="D25" s="183"/>
      <c r="E25" s="183"/>
      <c r="F25" s="183"/>
      <c r="J25" s="21"/>
      <c r="K25" s="21"/>
      <c r="L25" s="21"/>
      <c r="M25" s="21"/>
      <c r="N25" s="26"/>
    </row>
    <row r="26" spans="1:32" ht="15.75">
      <c r="A26" s="183"/>
      <c r="B26" s="183"/>
      <c r="C26" s="183"/>
      <c r="D26" s="183"/>
      <c r="E26" s="183"/>
      <c r="F26" s="183"/>
      <c r="J26" s="21"/>
      <c r="K26" s="21"/>
      <c r="L26" s="21"/>
      <c r="M26" s="21"/>
      <c r="N26" s="26"/>
    </row>
    <row r="27" spans="1:32" ht="15.75">
      <c r="A27" s="183"/>
      <c r="B27" s="183"/>
      <c r="C27" s="183"/>
      <c r="D27" s="183"/>
      <c r="E27" s="183"/>
      <c r="F27" s="183"/>
    </row>
    <row r="28" spans="1:32" ht="15.75">
      <c r="A28" s="183"/>
      <c r="B28" s="183"/>
      <c r="C28" s="183"/>
      <c r="D28" s="183"/>
      <c r="E28" s="183"/>
      <c r="F28" s="183"/>
    </row>
    <row r="29" spans="1:32" ht="15.75">
      <c r="A29" s="183"/>
      <c r="B29" s="183"/>
      <c r="C29" s="183"/>
      <c r="D29" s="183"/>
      <c r="E29" s="183"/>
      <c r="F29" s="183"/>
    </row>
    <row r="30" spans="1:32" ht="15.75">
      <c r="A30" s="183"/>
      <c r="B30" s="183"/>
      <c r="C30" s="183"/>
      <c r="D30" s="183"/>
      <c r="E30" s="183"/>
      <c r="F30" s="183"/>
    </row>
    <row r="31" spans="1:32" ht="15.75">
      <c r="A31" s="183"/>
      <c r="B31" s="183"/>
      <c r="C31" s="183"/>
      <c r="D31" s="183"/>
      <c r="E31" s="183"/>
      <c r="F31" s="183"/>
      <c r="H31" s="15"/>
    </row>
    <row r="32" spans="1:32" ht="15.75">
      <c r="A32" s="183"/>
      <c r="B32" s="183"/>
      <c r="C32" s="183"/>
      <c r="D32" s="183"/>
      <c r="E32" s="183"/>
      <c r="F32" s="183"/>
      <c r="H32" s="14"/>
    </row>
    <row r="33" spans="1:37" ht="15.75">
      <c r="A33" s="183"/>
      <c r="B33" s="183"/>
      <c r="C33" s="183"/>
      <c r="D33" s="183"/>
      <c r="E33" s="183"/>
      <c r="F33" s="183"/>
    </row>
    <row r="34" spans="1:37" ht="15.75">
      <c r="A34" s="183"/>
      <c r="B34" s="183"/>
      <c r="C34" s="183"/>
      <c r="D34" s="183"/>
      <c r="E34" s="183"/>
      <c r="F34" s="183"/>
    </row>
    <row r="35" spans="1:37" ht="15.75">
      <c r="A35" s="183"/>
      <c r="B35" s="183"/>
      <c r="C35" s="183"/>
      <c r="D35" s="183"/>
      <c r="E35" s="183"/>
      <c r="F35" s="183"/>
    </row>
    <row r="36" spans="1:37" ht="15.75">
      <c r="A36" s="183"/>
      <c r="B36" s="183"/>
      <c r="C36" s="183"/>
      <c r="D36" s="183"/>
      <c r="E36" s="183"/>
      <c r="F36" s="183"/>
    </row>
    <row r="37" spans="1:37" ht="15.75">
      <c r="A37" s="183"/>
      <c r="B37" s="183"/>
      <c r="C37" s="183"/>
      <c r="D37" s="183"/>
      <c r="E37" s="183"/>
      <c r="F37" s="183"/>
    </row>
    <row r="38" spans="1:37" ht="15.75">
      <c r="A38" s="183"/>
      <c r="B38" s="183"/>
      <c r="C38" s="183"/>
      <c r="D38" s="183"/>
      <c r="E38" s="183"/>
      <c r="F38" s="183"/>
    </row>
    <row r="39" spans="1:37" ht="15.75">
      <c r="A39" s="183"/>
      <c r="B39" s="183"/>
      <c r="C39" s="183"/>
      <c r="D39" s="183"/>
      <c r="E39" s="183"/>
      <c r="F39" s="183"/>
    </row>
    <row r="40" spans="1:37" ht="15.75">
      <c r="A40" s="183"/>
      <c r="B40" s="183"/>
      <c r="C40" s="183"/>
      <c r="D40" s="183"/>
      <c r="E40" s="183"/>
      <c r="F40" s="183"/>
      <c r="J40" s="135"/>
      <c r="K40" s="135"/>
      <c r="L40" s="135"/>
      <c r="M40" s="135"/>
      <c r="N40" s="135"/>
    </row>
    <row r="41" spans="1:37" ht="15.75">
      <c r="A41" s="183"/>
      <c r="B41" s="183"/>
      <c r="C41" s="183"/>
      <c r="D41" s="183"/>
      <c r="E41" s="183"/>
      <c r="F41" s="183"/>
      <c r="J41" s="135"/>
      <c r="K41" s="135"/>
      <c r="L41" s="135"/>
      <c r="M41" s="135"/>
      <c r="N41" s="135"/>
    </row>
    <row r="42" spans="1:37" ht="15.75">
      <c r="A42" s="183"/>
      <c r="B42" s="183"/>
      <c r="C42" s="183"/>
      <c r="D42" s="183"/>
      <c r="E42" s="183"/>
      <c r="F42" s="183"/>
      <c r="J42" s="135"/>
      <c r="K42" s="135"/>
      <c r="L42" s="135"/>
      <c r="M42" s="135"/>
      <c r="N42" s="135"/>
    </row>
    <row r="43" spans="1:37" ht="15.75">
      <c r="A43" s="183"/>
      <c r="B43" s="183"/>
      <c r="C43" s="183"/>
      <c r="D43" s="183"/>
      <c r="E43" s="183"/>
      <c r="F43" s="183"/>
      <c r="J43" s="135"/>
      <c r="K43" s="135"/>
      <c r="L43" s="135"/>
      <c r="M43" s="135"/>
      <c r="N43" s="135"/>
    </row>
    <row r="44" spans="1:37" ht="15.75">
      <c r="A44" s="183"/>
      <c r="B44" s="183"/>
      <c r="C44" s="183"/>
      <c r="D44" s="183"/>
      <c r="E44" s="183"/>
      <c r="F44" s="183"/>
      <c r="J44" s="135"/>
      <c r="K44" s="135"/>
      <c r="L44" s="135"/>
      <c r="M44" s="135"/>
      <c r="N44" s="135"/>
    </row>
    <row r="45" spans="1:37" ht="15.75">
      <c r="A45" s="183"/>
      <c r="B45" s="183"/>
      <c r="C45" s="183"/>
      <c r="D45" s="183"/>
      <c r="E45" s="183"/>
      <c r="F45" s="183"/>
      <c r="J45" s="135"/>
      <c r="K45" s="135"/>
      <c r="L45" s="135"/>
      <c r="M45" s="135"/>
      <c r="N45" s="135"/>
    </row>
    <row r="46" spans="1:37" ht="33" customHeight="1">
      <c r="A46" s="204" t="s">
        <v>37</v>
      </c>
      <c r="B46" s="204"/>
      <c r="C46" s="204"/>
      <c r="D46" s="204"/>
      <c r="E46" s="204"/>
      <c r="F46" s="204"/>
      <c r="J46" s="135"/>
      <c r="K46" s="135"/>
      <c r="L46" s="135"/>
      <c r="M46" s="135"/>
      <c r="N46" s="135"/>
    </row>
    <row r="47" spans="1:37" ht="12" customHeight="1">
      <c r="A47" s="183"/>
      <c r="B47" s="181"/>
      <c r="C47" s="181"/>
      <c r="D47" s="181"/>
      <c r="E47" s="181"/>
      <c r="F47" s="183"/>
      <c r="J47" s="135"/>
      <c r="K47" s="135"/>
      <c r="L47" s="135"/>
      <c r="M47" s="135"/>
      <c r="N47" s="135"/>
    </row>
    <row r="48" spans="1:37" ht="36" customHeight="1">
      <c r="A48" s="209"/>
      <c r="B48" s="209"/>
      <c r="C48" s="191" t="s">
        <v>221</v>
      </c>
      <c r="D48" s="191" t="s">
        <v>224</v>
      </c>
      <c r="E48" s="191" t="s">
        <v>25</v>
      </c>
      <c r="F48" s="185" t="s">
        <v>229</v>
      </c>
      <c r="G48" s="10">
        <v>0.25</v>
      </c>
      <c r="H48" s="2" t="s">
        <v>45</v>
      </c>
      <c r="K48" s="154" t="s">
        <v>221</v>
      </c>
      <c r="L48" s="150" t="s">
        <v>223</v>
      </c>
      <c r="M48" s="151">
        <v>2013</v>
      </c>
      <c r="N48" s="154" t="s">
        <v>183</v>
      </c>
      <c r="O48" s="150" t="s">
        <v>188</v>
      </c>
      <c r="P48" s="151">
        <v>2012</v>
      </c>
      <c r="Q48" s="150" t="s">
        <v>189</v>
      </c>
      <c r="R48" s="154" t="s">
        <v>143</v>
      </c>
      <c r="S48" s="150" t="s">
        <v>148</v>
      </c>
      <c r="T48" s="151">
        <v>2011</v>
      </c>
      <c r="U48" s="150" t="s">
        <v>147</v>
      </c>
      <c r="V48" s="154" t="s">
        <v>99</v>
      </c>
      <c r="W48" s="150" t="s">
        <v>146</v>
      </c>
      <c r="X48" s="151">
        <v>2010</v>
      </c>
      <c r="Y48" s="150" t="s">
        <v>116</v>
      </c>
      <c r="Z48" s="150" t="s">
        <v>1</v>
      </c>
      <c r="AA48" s="150" t="s">
        <v>117</v>
      </c>
      <c r="AB48" s="151">
        <v>2009</v>
      </c>
      <c r="AC48" s="150" t="s">
        <v>118</v>
      </c>
      <c r="AD48" s="150">
        <v>2009</v>
      </c>
      <c r="AE48" s="150" t="s">
        <v>119</v>
      </c>
      <c r="AF48" s="150" t="s">
        <v>111</v>
      </c>
      <c r="AG48" s="150" t="s">
        <v>120</v>
      </c>
      <c r="AH48" s="151">
        <v>2008</v>
      </c>
      <c r="AI48" s="150" t="s">
        <v>121</v>
      </c>
      <c r="AJ48" s="150">
        <v>2008</v>
      </c>
      <c r="AK48" s="150" t="s">
        <v>122</v>
      </c>
    </row>
    <row r="49" spans="1:37" ht="15.75" customHeight="1">
      <c r="A49" s="206" t="s">
        <v>30</v>
      </c>
      <c r="B49" s="207"/>
      <c r="C49" s="186">
        <f>K49</f>
        <v>262787</v>
      </c>
      <c r="D49" s="186">
        <f>L49</f>
        <v>54547</v>
      </c>
      <c r="E49" s="187">
        <f t="shared" ref="E49:E60" si="13">(D49/C49)</f>
        <v>0.2075711507799092</v>
      </c>
      <c r="F49" s="186">
        <f>+G49-D49</f>
        <v>11149.75</v>
      </c>
      <c r="G49" s="23">
        <f>C49*0.25</f>
        <v>65696.75</v>
      </c>
      <c r="H49" s="24">
        <f t="shared" ref="H49:H59" si="14">C49-D49</f>
        <v>208240</v>
      </c>
      <c r="I49" s="1">
        <v>0.25</v>
      </c>
      <c r="J49" s="135" t="s">
        <v>30</v>
      </c>
      <c r="K49" s="13">
        <v>262787</v>
      </c>
      <c r="L49" s="13">
        <v>54547</v>
      </c>
      <c r="M49" s="155">
        <f t="shared" ref="M49:M60" si="15">(L49/K49)</f>
        <v>0.2075711507799092</v>
      </c>
      <c r="N49" s="13">
        <v>260248</v>
      </c>
      <c r="O49" s="13">
        <v>70132</v>
      </c>
      <c r="P49" s="155">
        <f t="shared" ref="P49:P60" si="16">(O49/N49)</f>
        <v>0.26948141772463191</v>
      </c>
      <c r="Q49" s="13">
        <f>N49-O49</f>
        <v>190116</v>
      </c>
      <c r="R49" s="13">
        <v>315395</v>
      </c>
      <c r="S49" s="13">
        <v>56380</v>
      </c>
      <c r="T49" s="155">
        <f t="shared" ref="T49:T60" si="17">(S49/R49)</f>
        <v>0.17875996765960145</v>
      </c>
      <c r="U49" s="13">
        <f>R49-S49</f>
        <v>259015</v>
      </c>
      <c r="V49" s="13">
        <v>302496</v>
      </c>
      <c r="W49" s="13">
        <v>60196.95</v>
      </c>
      <c r="X49" s="155">
        <f t="shared" ref="X49:X60" si="18">(W49/V49)</f>
        <v>0.19900081323389399</v>
      </c>
      <c r="Y49" s="13">
        <f>V49-W49</f>
        <v>242299.05</v>
      </c>
      <c r="Z49" s="13">
        <f>'FY 2009 Exp 01-06-10'!C2</f>
        <v>307595</v>
      </c>
      <c r="AA49" s="13">
        <f>SUM('FY 2009 Exp 01-06-10'!F2:H2)</f>
        <v>51110.89</v>
      </c>
      <c r="AB49" s="155">
        <f>AA49/Z49</f>
        <v>0.16616294153025896</v>
      </c>
      <c r="AC49" s="13">
        <f>'FY 2009 Exp 01-06-10'!D2</f>
        <v>307595</v>
      </c>
      <c r="AD49" s="155">
        <f>AA49/AC49</f>
        <v>0.16616294153025896</v>
      </c>
      <c r="AE49" s="13">
        <f>Z49-AA49</f>
        <v>256484.11</v>
      </c>
      <c r="AF49" s="13">
        <f>'FY 2008 Exp 01-06-10'!C2</f>
        <v>326242</v>
      </c>
      <c r="AG49" s="13">
        <f>SUM('FY 2008 Exp 01-06-10'!F2:H2)</f>
        <v>44814.880000000005</v>
      </c>
      <c r="AH49" s="155">
        <f>AG49/AF49</f>
        <v>0.13736698524408264</v>
      </c>
      <c r="AI49" s="13">
        <f>'FY 2008 Exp 01-06-10'!D2</f>
        <v>326266</v>
      </c>
      <c r="AJ49" s="155">
        <f>AG49/AI49</f>
        <v>0.13735688058210174</v>
      </c>
      <c r="AK49" s="13">
        <f>AF49-AG49</f>
        <v>281427.12</v>
      </c>
    </row>
    <row r="50" spans="1:37" ht="15.75" customHeight="1">
      <c r="A50" s="206" t="s">
        <v>123</v>
      </c>
      <c r="B50" s="207"/>
      <c r="C50" s="189">
        <f t="shared" ref="C50:C59" si="19">K50</f>
        <v>868091</v>
      </c>
      <c r="D50" s="189">
        <f t="shared" ref="D50:D59" si="20">L50</f>
        <v>130740</v>
      </c>
      <c r="E50" s="187">
        <f t="shared" si="13"/>
        <v>0.15060633044231539</v>
      </c>
      <c r="F50" s="189">
        <f t="shared" ref="F50:F60" si="21">+G50-D50</f>
        <v>86282.75</v>
      </c>
      <c r="G50" s="25">
        <f t="shared" ref="G50:G60" si="22">C50*0.25</f>
        <v>217022.75</v>
      </c>
      <c r="H50" s="25">
        <f t="shared" si="14"/>
        <v>737351</v>
      </c>
      <c r="I50" s="1">
        <v>0.25</v>
      </c>
      <c r="J50" s="135" t="s">
        <v>123</v>
      </c>
      <c r="K50" s="156">
        <v>868091</v>
      </c>
      <c r="L50" s="156">
        <v>130740</v>
      </c>
      <c r="M50" s="155">
        <f t="shared" si="15"/>
        <v>0.15060633044231539</v>
      </c>
      <c r="N50" s="156">
        <v>376370</v>
      </c>
      <c r="O50" s="156">
        <v>3802</v>
      </c>
      <c r="P50" s="155">
        <f t="shared" si="16"/>
        <v>1.0101761564417992E-2</v>
      </c>
      <c r="Q50" s="156">
        <f t="shared" ref="Q50:Q59" si="23">N50-O50</f>
        <v>372568</v>
      </c>
      <c r="R50" s="156">
        <v>376370</v>
      </c>
      <c r="S50" s="156">
        <v>155301</v>
      </c>
      <c r="T50" s="155">
        <f t="shared" si="17"/>
        <v>0.4126285304354757</v>
      </c>
      <c r="U50" s="156">
        <f t="shared" ref="U50:U59" si="24">R50-S50</f>
        <v>221069</v>
      </c>
      <c r="V50" s="156">
        <v>411370</v>
      </c>
      <c r="W50" s="156">
        <v>53040.800000000003</v>
      </c>
      <c r="X50" s="155">
        <f t="shared" si="18"/>
        <v>0.12893696672095681</v>
      </c>
      <c r="Y50" s="156">
        <f t="shared" ref="Y50:Y59" si="25">V50-W50</f>
        <v>358329.2</v>
      </c>
      <c r="Z50" s="156">
        <f>'FY 2009 Exp 01-06-10'!C3</f>
        <v>510370</v>
      </c>
      <c r="AA50" s="156">
        <f>SUM('FY 2009 Exp 01-06-10'!F3:H3)</f>
        <v>220612.56</v>
      </c>
      <c r="AB50" s="155">
        <f t="shared" ref="AB50:AB60" si="26">AA50/Z50</f>
        <v>0.43226004663283502</v>
      </c>
      <c r="AC50" s="156">
        <f>'FY 2009 Exp 01-06-10'!D3</f>
        <v>575162</v>
      </c>
      <c r="AD50" s="155">
        <f t="shared" ref="AD50:AD60" si="27">AA50/AC50</f>
        <v>0.38356595185356473</v>
      </c>
      <c r="AE50" s="13">
        <f t="shared" ref="AE50:AE59" si="28">Z50-AA50</f>
        <v>289757.44</v>
      </c>
      <c r="AF50" s="156">
        <f>'FY 2008 Exp 01-06-10'!C3</f>
        <v>461110</v>
      </c>
      <c r="AG50" s="156">
        <f>SUM('FY 2008 Exp 01-06-10'!F3:H3)</f>
        <v>201003.53999999998</v>
      </c>
      <c r="AH50" s="155">
        <f t="shared" ref="AH50:AH60" si="29">AG50/AF50</f>
        <v>0.43591234195745043</v>
      </c>
      <c r="AI50" s="156">
        <f>'FY 2008 Exp 01-06-10'!D3</f>
        <v>497765</v>
      </c>
      <c r="AJ50" s="155">
        <f t="shared" ref="AJ50:AJ60" si="30">AG50/AI50</f>
        <v>0.40381212017719198</v>
      </c>
      <c r="AK50" s="13">
        <f t="shared" ref="AK50:AK59" si="31">AF50-AG50</f>
        <v>260106.46000000002</v>
      </c>
    </row>
    <row r="51" spans="1:37" ht="15.75" customHeight="1">
      <c r="A51" s="206" t="s">
        <v>31</v>
      </c>
      <c r="B51" s="207"/>
      <c r="C51" s="189">
        <f t="shared" si="19"/>
        <v>3847599</v>
      </c>
      <c r="D51" s="189">
        <f t="shared" si="20"/>
        <v>588751</v>
      </c>
      <c r="E51" s="187">
        <f t="shared" si="13"/>
        <v>0.15301776510493947</v>
      </c>
      <c r="F51" s="189">
        <f t="shared" si="21"/>
        <v>373148.75</v>
      </c>
      <c r="G51" s="25">
        <f t="shared" si="22"/>
        <v>961899.75</v>
      </c>
      <c r="H51" s="25">
        <f t="shared" si="14"/>
        <v>3258848</v>
      </c>
      <c r="I51" s="1">
        <v>0.25</v>
      </c>
      <c r="J51" s="135" t="s">
        <v>31</v>
      </c>
      <c r="K51" s="156">
        <v>3847599</v>
      </c>
      <c r="L51" s="156">
        <v>588751</v>
      </c>
      <c r="M51" s="155">
        <f t="shared" si="15"/>
        <v>0.15301776510493947</v>
      </c>
      <c r="N51" s="156">
        <v>3539581</v>
      </c>
      <c r="O51" s="156">
        <v>632824</v>
      </c>
      <c r="P51" s="155">
        <f t="shared" si="16"/>
        <v>0.17878500308369832</v>
      </c>
      <c r="Q51" s="156">
        <f t="shared" si="23"/>
        <v>2906757</v>
      </c>
      <c r="R51" s="156">
        <v>2892101</v>
      </c>
      <c r="S51" s="156">
        <v>409939</v>
      </c>
      <c r="T51" s="155">
        <f t="shared" si="17"/>
        <v>0.14174435816729775</v>
      </c>
      <c r="U51" s="156">
        <f t="shared" si="24"/>
        <v>2482162</v>
      </c>
      <c r="V51" s="156">
        <v>3263326</v>
      </c>
      <c r="W51" s="156">
        <v>397662.91</v>
      </c>
      <c r="X51" s="155">
        <f t="shared" si="18"/>
        <v>0.12185816250046731</v>
      </c>
      <c r="Y51" s="156">
        <f t="shared" si="25"/>
        <v>2865663.09</v>
      </c>
      <c r="Z51" s="156">
        <f>'FY 2009 Exp 01-06-10'!C5</f>
        <v>3360551</v>
      </c>
      <c r="AA51" s="156">
        <f>SUM('FY 2009 Exp 01-06-10'!F5:H5)</f>
        <v>413309.75</v>
      </c>
      <c r="AB51" s="155">
        <f t="shared" si="26"/>
        <v>0.12298868548639791</v>
      </c>
      <c r="AC51" s="156">
        <f>'FY 2009 Exp 01-06-10'!D5</f>
        <v>3258569</v>
      </c>
      <c r="AD51" s="155">
        <f t="shared" si="27"/>
        <v>0.12683780825264096</v>
      </c>
      <c r="AE51" s="13">
        <f t="shared" si="28"/>
        <v>2947241.25</v>
      </c>
      <c r="AF51" s="156">
        <f>'FY 2008 Exp 01-06-10'!C5</f>
        <v>2433415</v>
      </c>
      <c r="AG51" s="156">
        <f>SUM('FY 2008 Exp 01-06-10'!F5:H5)</f>
        <v>459684.51</v>
      </c>
      <c r="AH51" s="155">
        <f t="shared" si="29"/>
        <v>0.1889051024999846</v>
      </c>
      <c r="AI51" s="156">
        <f>'FY 2008 Exp 01-06-10'!D5</f>
        <v>3116351</v>
      </c>
      <c r="AJ51" s="155">
        <f t="shared" si="30"/>
        <v>0.1475072961935289</v>
      </c>
      <c r="AK51" s="13">
        <f t="shared" si="31"/>
        <v>1973730.49</v>
      </c>
    </row>
    <row r="52" spans="1:37" ht="15.75" customHeight="1">
      <c r="A52" s="206" t="s">
        <v>15</v>
      </c>
      <c r="B52" s="207"/>
      <c r="C52" s="189">
        <f t="shared" si="19"/>
        <v>10587235</v>
      </c>
      <c r="D52" s="189">
        <f t="shared" si="20"/>
        <v>2268254</v>
      </c>
      <c r="E52" s="187">
        <f t="shared" si="13"/>
        <v>0.21424422901730245</v>
      </c>
      <c r="F52" s="189">
        <f t="shared" si="21"/>
        <v>378554.75</v>
      </c>
      <c r="G52" s="25">
        <f t="shared" si="22"/>
        <v>2646808.75</v>
      </c>
      <c r="H52" s="25">
        <f t="shared" si="14"/>
        <v>8318981</v>
      </c>
      <c r="I52" s="1">
        <v>0.25</v>
      </c>
      <c r="J52" s="135" t="s">
        <v>15</v>
      </c>
      <c r="K52" s="156">
        <v>10587235</v>
      </c>
      <c r="L52" s="156">
        <v>2268254</v>
      </c>
      <c r="M52" s="155">
        <f t="shared" si="15"/>
        <v>0.21424422901730245</v>
      </c>
      <c r="N52" s="156">
        <v>10245180</v>
      </c>
      <c r="O52" s="156">
        <v>3303438</v>
      </c>
      <c r="P52" s="155">
        <f t="shared" si="16"/>
        <v>0.32243825877144178</v>
      </c>
      <c r="Q52" s="156">
        <f t="shared" si="23"/>
        <v>6941742</v>
      </c>
      <c r="R52" s="156">
        <v>10586321</v>
      </c>
      <c r="S52" s="156">
        <v>1935547</v>
      </c>
      <c r="T52" s="155">
        <f t="shared" si="17"/>
        <v>0.18283471661212616</v>
      </c>
      <c r="U52" s="156">
        <f t="shared" si="24"/>
        <v>8650774</v>
      </c>
      <c r="V52" s="156">
        <v>10604579</v>
      </c>
      <c r="W52" s="156">
        <v>2262421.56</v>
      </c>
      <c r="X52" s="155">
        <f t="shared" si="18"/>
        <v>0.21334383571474172</v>
      </c>
      <c r="Y52" s="156">
        <f t="shared" si="25"/>
        <v>8342157.4399999995</v>
      </c>
      <c r="Z52" s="156">
        <f>'FY 2009 Exp 01-06-10'!C6</f>
        <v>10906229</v>
      </c>
      <c r="AA52" s="156">
        <f>SUM('FY 2009 Exp 01-06-10'!F6:H6)</f>
        <v>1433663.59</v>
      </c>
      <c r="AB52" s="155">
        <f t="shared" si="26"/>
        <v>0.13145364818582114</v>
      </c>
      <c r="AC52" s="156">
        <f>'FY 2009 Exp 01-06-10'!D6</f>
        <v>11732575</v>
      </c>
      <c r="AD52" s="155">
        <f t="shared" si="27"/>
        <v>0.12219513533900274</v>
      </c>
      <c r="AE52" s="13">
        <f t="shared" si="28"/>
        <v>9472565.4100000001</v>
      </c>
      <c r="AF52" s="156">
        <f>'FY 2008 Exp 01-06-10'!C6</f>
        <v>9925189</v>
      </c>
      <c r="AG52" s="156">
        <f>SUM('FY 2008 Exp 01-06-10'!F6:H6)</f>
        <v>1742101.62</v>
      </c>
      <c r="AH52" s="155">
        <f t="shared" si="29"/>
        <v>0.17552326912867858</v>
      </c>
      <c r="AI52" s="156">
        <f>'FY 2008 Exp 01-06-10'!D6</f>
        <v>10190881</v>
      </c>
      <c r="AJ52" s="155">
        <f t="shared" si="30"/>
        <v>0.17094710653573525</v>
      </c>
      <c r="AK52" s="13">
        <f t="shared" si="31"/>
        <v>8183087.3799999999</v>
      </c>
    </row>
    <row r="53" spans="1:37" ht="15.75" customHeight="1">
      <c r="A53" s="206" t="s">
        <v>14</v>
      </c>
      <c r="B53" s="207"/>
      <c r="C53" s="189">
        <f t="shared" si="19"/>
        <v>32667394</v>
      </c>
      <c r="D53" s="189">
        <f t="shared" si="20"/>
        <v>5761400</v>
      </c>
      <c r="E53" s="187">
        <f t="shared" si="13"/>
        <v>0.17636546092412514</v>
      </c>
      <c r="F53" s="189">
        <f t="shared" si="21"/>
        <v>2405448.5</v>
      </c>
      <c r="G53" s="25">
        <f t="shared" si="22"/>
        <v>8166848.5</v>
      </c>
      <c r="H53" s="25">
        <f t="shared" si="14"/>
        <v>26905994</v>
      </c>
      <c r="I53" s="1">
        <v>0.25</v>
      </c>
      <c r="J53" s="135" t="s">
        <v>151</v>
      </c>
      <c r="K53" s="156">
        <v>32667394</v>
      </c>
      <c r="L53" s="156">
        <v>5761400</v>
      </c>
      <c r="M53" s="155">
        <f t="shared" si="15"/>
        <v>0.17636546092412514</v>
      </c>
      <c r="N53" s="156">
        <v>31030208</v>
      </c>
      <c r="O53" s="156">
        <v>7728467</v>
      </c>
      <c r="P53" s="155">
        <f t="shared" si="16"/>
        <v>0.24906268755916816</v>
      </c>
      <c r="Q53" s="156">
        <f t="shared" si="23"/>
        <v>23301741</v>
      </c>
      <c r="R53" s="156">
        <v>36594199</v>
      </c>
      <c r="S53" s="156">
        <v>9673916</v>
      </c>
      <c r="T53" s="155">
        <f t="shared" si="17"/>
        <v>0.26435654459877644</v>
      </c>
      <c r="U53" s="156">
        <f t="shared" si="24"/>
        <v>26920283</v>
      </c>
      <c r="V53" s="156">
        <v>36033186</v>
      </c>
      <c r="W53" s="156">
        <v>5852039.46</v>
      </c>
      <c r="X53" s="155">
        <f t="shared" si="18"/>
        <v>0.1624069395362375</v>
      </c>
      <c r="Y53" s="156">
        <f t="shared" si="25"/>
        <v>30181146.539999999</v>
      </c>
      <c r="Z53" s="156">
        <f>'FY 2009 Exp 01-06-10'!C7</f>
        <v>34955768</v>
      </c>
      <c r="AA53" s="156">
        <f>SUM('FY 2009 Exp 01-06-10'!F7:H7)</f>
        <v>4683735.96</v>
      </c>
      <c r="AB53" s="155">
        <f t="shared" si="26"/>
        <v>0.13399036061802447</v>
      </c>
      <c r="AC53" s="156">
        <f>'FY 2009 Exp 01-06-10'!D7</f>
        <v>31765451</v>
      </c>
      <c r="AD53" s="155">
        <f t="shared" si="27"/>
        <v>0.14744748815308809</v>
      </c>
      <c r="AE53" s="13">
        <f t="shared" si="28"/>
        <v>30272032.039999999</v>
      </c>
      <c r="AF53" s="156">
        <f>'FY 2008 Exp 01-06-10'!C7</f>
        <v>33931130</v>
      </c>
      <c r="AG53" s="156">
        <f>SUM('FY 2008 Exp 01-06-10'!F7:H7)</f>
        <v>3533866.62</v>
      </c>
      <c r="AH53" s="155">
        <f t="shared" si="29"/>
        <v>0.10414821492829741</v>
      </c>
      <c r="AI53" s="156">
        <f>'FY 2008 Exp 01-06-10'!D7</f>
        <v>30400731</v>
      </c>
      <c r="AJ53" s="155">
        <f t="shared" si="30"/>
        <v>0.11624281731909671</v>
      </c>
      <c r="AK53" s="13">
        <f t="shared" si="31"/>
        <v>30397263.379999999</v>
      </c>
    </row>
    <row r="54" spans="1:37" ht="15.75" customHeight="1">
      <c r="A54" s="206" t="s">
        <v>124</v>
      </c>
      <c r="B54" s="207"/>
      <c r="C54" s="189">
        <f t="shared" si="19"/>
        <v>11767178</v>
      </c>
      <c r="D54" s="189">
        <f t="shared" si="20"/>
        <v>2982371</v>
      </c>
      <c r="E54" s="187">
        <f t="shared" si="13"/>
        <v>0.25344827791336205</v>
      </c>
      <c r="F54" s="189">
        <f t="shared" si="21"/>
        <v>-40576.5</v>
      </c>
      <c r="G54" s="25">
        <f t="shared" si="22"/>
        <v>2941794.5</v>
      </c>
      <c r="H54" s="25">
        <f t="shared" si="14"/>
        <v>8784807</v>
      </c>
      <c r="I54" s="1">
        <v>0.25</v>
      </c>
      <c r="J54" s="135" t="s">
        <v>124</v>
      </c>
      <c r="K54" s="156">
        <v>11767178</v>
      </c>
      <c r="L54" s="156">
        <v>2982371</v>
      </c>
      <c r="M54" s="155">
        <f t="shared" si="15"/>
        <v>0.25344827791336205</v>
      </c>
      <c r="N54" s="156">
        <v>11756112</v>
      </c>
      <c r="O54" s="156">
        <v>2183431</v>
      </c>
      <c r="P54" s="155">
        <f t="shared" si="16"/>
        <v>0.18572730508181617</v>
      </c>
      <c r="Q54" s="156">
        <f t="shared" si="23"/>
        <v>9572681</v>
      </c>
      <c r="R54" s="156">
        <v>12350821</v>
      </c>
      <c r="S54" s="156">
        <v>2124662</v>
      </c>
      <c r="T54" s="155">
        <f t="shared" si="17"/>
        <v>0.17202597301021527</v>
      </c>
      <c r="U54" s="156">
        <f t="shared" si="24"/>
        <v>10226159</v>
      </c>
      <c r="V54" s="156">
        <v>11603014</v>
      </c>
      <c r="W54" s="156">
        <v>2506376.27</v>
      </c>
      <c r="X54" s="155">
        <f t="shared" si="18"/>
        <v>0.21601079426431788</v>
      </c>
      <c r="Y54" s="156">
        <f t="shared" si="25"/>
        <v>9096637.7300000004</v>
      </c>
      <c r="Z54" s="156">
        <f>'FY 2009 Exp 01-06-10'!C8</f>
        <v>11138553</v>
      </c>
      <c r="AA54" s="156">
        <f>SUM('FY 2009 Exp 01-06-10'!F8:H8)</f>
        <v>2599794.9000000004</v>
      </c>
      <c r="AB54" s="155">
        <f t="shared" si="26"/>
        <v>0.23340508412537969</v>
      </c>
      <c r="AC54" s="156">
        <f>'FY 2009 Exp 01-06-10'!D8</f>
        <v>12178567</v>
      </c>
      <c r="AD54" s="155">
        <f t="shared" si="27"/>
        <v>0.2134729726411983</v>
      </c>
      <c r="AE54" s="13">
        <f t="shared" si="28"/>
        <v>8538758.0999999996</v>
      </c>
      <c r="AF54" s="156">
        <f>'FY 2008 Exp 01-06-10'!C8</f>
        <v>10691922</v>
      </c>
      <c r="AG54" s="156">
        <f>SUM('FY 2008 Exp 01-06-10'!F8:H8)</f>
        <v>1446088.6300000001</v>
      </c>
      <c r="AH54" s="155">
        <f t="shared" si="29"/>
        <v>0.13525057795969705</v>
      </c>
      <c r="AI54" s="156">
        <f>'FY 2008 Exp 01-06-10'!D8</f>
        <v>11576518</v>
      </c>
      <c r="AJ54" s="155">
        <f t="shared" si="30"/>
        <v>0.12491568103638763</v>
      </c>
      <c r="AK54" s="13">
        <f t="shared" si="31"/>
        <v>9245833.3699999992</v>
      </c>
    </row>
    <row r="55" spans="1:37" ht="15.75" customHeight="1">
      <c r="A55" s="206" t="s">
        <v>32</v>
      </c>
      <c r="B55" s="207"/>
      <c r="C55" s="189">
        <f t="shared" si="19"/>
        <v>15377499</v>
      </c>
      <c r="D55" s="189">
        <f t="shared" si="20"/>
        <v>3164467</v>
      </c>
      <c r="E55" s="187">
        <f t="shared" si="13"/>
        <v>0.20578554419024836</v>
      </c>
      <c r="F55" s="189">
        <f t="shared" si="21"/>
        <v>679907.75</v>
      </c>
      <c r="G55" s="25">
        <f t="shared" si="22"/>
        <v>3844374.75</v>
      </c>
      <c r="H55" s="25">
        <f t="shared" si="14"/>
        <v>12213032</v>
      </c>
      <c r="I55" s="1">
        <v>0.25</v>
      </c>
      <c r="J55" s="135" t="s">
        <v>32</v>
      </c>
      <c r="K55" s="156">
        <v>15377499</v>
      </c>
      <c r="L55" s="156">
        <v>3164467</v>
      </c>
      <c r="M55" s="155">
        <f t="shared" si="15"/>
        <v>0.20578554419024836</v>
      </c>
      <c r="N55" s="156">
        <v>14379926</v>
      </c>
      <c r="O55" s="156">
        <v>4498887</v>
      </c>
      <c r="P55" s="155">
        <f t="shared" si="16"/>
        <v>0.31285884224995314</v>
      </c>
      <c r="Q55" s="156">
        <f t="shared" si="23"/>
        <v>9881039</v>
      </c>
      <c r="R55" s="156">
        <v>14589387</v>
      </c>
      <c r="S55" s="156">
        <v>2826657</v>
      </c>
      <c r="T55" s="155">
        <f t="shared" si="17"/>
        <v>0.19374748233082034</v>
      </c>
      <c r="U55" s="156">
        <f t="shared" si="24"/>
        <v>11762730</v>
      </c>
      <c r="V55" s="156">
        <v>14742575</v>
      </c>
      <c r="W55" s="156">
        <v>3094036.91</v>
      </c>
      <c r="X55" s="155">
        <f t="shared" si="18"/>
        <v>0.20987086109448316</v>
      </c>
      <c r="Y55" s="156">
        <f t="shared" si="25"/>
        <v>11648538.09</v>
      </c>
      <c r="Z55" s="156">
        <f>'FY 2009 Exp 01-06-10'!C9</f>
        <v>14546174</v>
      </c>
      <c r="AA55" s="156">
        <f>SUM('FY 2009 Exp 01-06-10'!F9:H9)</f>
        <v>2390236.9299999997</v>
      </c>
      <c r="AB55" s="155">
        <f t="shared" si="26"/>
        <v>0.16432066122679406</v>
      </c>
      <c r="AC55" s="156">
        <f>'FY 2009 Exp 01-06-10'!D9</f>
        <v>14631394</v>
      </c>
      <c r="AD55" s="155">
        <f t="shared" si="27"/>
        <v>0.16336358176124569</v>
      </c>
      <c r="AE55" s="13">
        <f t="shared" si="28"/>
        <v>12155937.07</v>
      </c>
      <c r="AF55" s="156">
        <f>'FY 2008 Exp 01-06-10'!C9</f>
        <v>13877308</v>
      </c>
      <c r="AG55" s="156">
        <f>SUM('FY 2008 Exp 01-06-10'!F9:H9)</f>
        <v>2355398.4899999998</v>
      </c>
      <c r="AH55" s="155">
        <f t="shared" si="29"/>
        <v>0.16973021640796615</v>
      </c>
      <c r="AI55" s="156">
        <f>'FY 2008 Exp 01-06-10'!D9</f>
        <v>14249804</v>
      </c>
      <c r="AJ55" s="155">
        <f t="shared" si="30"/>
        <v>0.16529339561442388</v>
      </c>
      <c r="AK55" s="13">
        <f t="shared" si="31"/>
        <v>11521909.51</v>
      </c>
    </row>
    <row r="56" spans="1:37" ht="15.75" customHeight="1">
      <c r="A56" s="206" t="s">
        <v>33</v>
      </c>
      <c r="B56" s="207"/>
      <c r="C56" s="189">
        <f t="shared" si="19"/>
        <v>10551894</v>
      </c>
      <c r="D56" s="189">
        <f t="shared" si="20"/>
        <v>2230581</v>
      </c>
      <c r="E56" s="187">
        <f t="shared" si="13"/>
        <v>0.21139152838343525</v>
      </c>
      <c r="F56" s="189">
        <f t="shared" si="21"/>
        <v>407392.5</v>
      </c>
      <c r="G56" s="25">
        <f t="shared" si="22"/>
        <v>2637973.5</v>
      </c>
      <c r="H56" s="25">
        <f t="shared" si="14"/>
        <v>8321313</v>
      </c>
      <c r="I56" s="1">
        <v>0.25</v>
      </c>
      <c r="J56" s="135" t="s">
        <v>33</v>
      </c>
      <c r="K56" s="156">
        <v>10551894</v>
      </c>
      <c r="L56" s="156">
        <v>2230581</v>
      </c>
      <c r="M56" s="155">
        <f t="shared" si="15"/>
        <v>0.21139152838343525</v>
      </c>
      <c r="N56" s="156">
        <v>10468040</v>
      </c>
      <c r="O56" s="156">
        <v>3093383</v>
      </c>
      <c r="P56" s="155">
        <f t="shared" si="16"/>
        <v>0.29550737291794832</v>
      </c>
      <c r="Q56" s="156">
        <f t="shared" si="23"/>
        <v>7374657</v>
      </c>
      <c r="R56" s="156">
        <v>10895570</v>
      </c>
      <c r="S56" s="156">
        <v>2136273</v>
      </c>
      <c r="T56" s="155">
        <f t="shared" si="17"/>
        <v>0.19606803499036765</v>
      </c>
      <c r="U56" s="156">
        <f t="shared" si="24"/>
        <v>8759297</v>
      </c>
      <c r="V56" s="156">
        <v>10775827</v>
      </c>
      <c r="W56" s="156">
        <v>2477263.4</v>
      </c>
      <c r="X56" s="155">
        <f t="shared" si="18"/>
        <v>0.22989079167659243</v>
      </c>
      <c r="Y56" s="156">
        <f t="shared" si="25"/>
        <v>8298563.5999999996</v>
      </c>
      <c r="Z56" s="156">
        <f>'FY 2009 Exp 01-06-10'!C10</f>
        <v>10460745</v>
      </c>
      <c r="AA56" s="156">
        <f>SUM('FY 2009 Exp 01-06-10'!F10:H10)</f>
        <v>1812094.8599999999</v>
      </c>
      <c r="AB56" s="155">
        <f t="shared" si="26"/>
        <v>0.1732280884392077</v>
      </c>
      <c r="AC56" s="156">
        <f>'FY 2009 Exp 01-06-10'!D10</f>
        <v>10518776</v>
      </c>
      <c r="AD56" s="155">
        <f t="shared" si="27"/>
        <v>0.17227240697967139</v>
      </c>
      <c r="AE56" s="13">
        <f t="shared" si="28"/>
        <v>8648650.1400000006</v>
      </c>
      <c r="AF56" s="156">
        <f>'FY 2008 Exp 01-06-10'!C10</f>
        <v>10121330</v>
      </c>
      <c r="AG56" s="156">
        <f>SUM('FY 2008 Exp 01-06-10'!F10:H10)</f>
        <v>1694852.03</v>
      </c>
      <c r="AH56" s="155">
        <f t="shared" si="29"/>
        <v>0.16745348980815764</v>
      </c>
      <c r="AI56" s="156">
        <f>'FY 2008 Exp 01-06-10'!D10</f>
        <v>10185578</v>
      </c>
      <c r="AJ56" s="155">
        <f t="shared" si="30"/>
        <v>0.16639723636694942</v>
      </c>
      <c r="AK56" s="13">
        <f t="shared" si="31"/>
        <v>8426477.9700000007</v>
      </c>
    </row>
    <row r="57" spans="1:37" ht="15.75" customHeight="1">
      <c r="A57" s="206" t="s">
        <v>34</v>
      </c>
      <c r="B57" s="207"/>
      <c r="C57" s="189">
        <f t="shared" si="19"/>
        <v>10649104</v>
      </c>
      <c r="D57" s="189">
        <f t="shared" si="20"/>
        <v>2189701</v>
      </c>
      <c r="E57" s="187">
        <f t="shared" si="13"/>
        <v>0.20562302706406096</v>
      </c>
      <c r="F57" s="189">
        <f t="shared" si="21"/>
        <v>472575</v>
      </c>
      <c r="G57" s="25">
        <f t="shared" si="22"/>
        <v>2662276</v>
      </c>
      <c r="H57" s="25">
        <f t="shared" si="14"/>
        <v>8459403</v>
      </c>
      <c r="I57" s="1">
        <v>0.25</v>
      </c>
      <c r="J57" s="135" t="s">
        <v>34</v>
      </c>
      <c r="K57" s="156">
        <v>10649104</v>
      </c>
      <c r="L57" s="156">
        <v>2189701</v>
      </c>
      <c r="M57" s="155">
        <f t="shared" si="15"/>
        <v>0.20562302706406096</v>
      </c>
      <c r="N57" s="156">
        <v>10353415</v>
      </c>
      <c r="O57" s="156">
        <v>2934780</v>
      </c>
      <c r="P57" s="155">
        <f t="shared" si="16"/>
        <v>0.28346009505076342</v>
      </c>
      <c r="Q57" s="156">
        <f t="shared" si="23"/>
        <v>7418635</v>
      </c>
      <c r="R57" s="156">
        <v>10218116</v>
      </c>
      <c r="S57" s="156">
        <v>1880818</v>
      </c>
      <c r="T57" s="155">
        <f t="shared" si="17"/>
        <v>0.18406700413266008</v>
      </c>
      <c r="U57" s="156">
        <f t="shared" si="24"/>
        <v>8337298</v>
      </c>
      <c r="V57" s="156">
        <v>10781064</v>
      </c>
      <c r="W57" s="156">
        <v>1969355.35</v>
      </c>
      <c r="X57" s="155">
        <f t="shared" si="18"/>
        <v>0.18266799547799736</v>
      </c>
      <c r="Y57" s="156">
        <f t="shared" si="25"/>
        <v>8811708.6500000004</v>
      </c>
      <c r="Z57" s="156">
        <f>'FY 2009 Exp 01-06-10'!C11</f>
        <v>10829424</v>
      </c>
      <c r="AA57" s="156">
        <f>SUM('FY 2009 Exp 01-06-10'!F11:H11)</f>
        <v>1697420.5</v>
      </c>
      <c r="AB57" s="155">
        <f t="shared" si="26"/>
        <v>0.1567415312208664</v>
      </c>
      <c r="AC57" s="156">
        <f>'FY 2009 Exp 01-06-10'!D11</f>
        <v>11207054</v>
      </c>
      <c r="AD57" s="155">
        <f t="shared" si="27"/>
        <v>0.15146000902645779</v>
      </c>
      <c r="AE57" s="13">
        <f t="shared" si="28"/>
        <v>9132003.5</v>
      </c>
      <c r="AF57" s="156">
        <f>'FY 2008 Exp 01-06-10'!C11</f>
        <v>10503495</v>
      </c>
      <c r="AG57" s="156">
        <f>SUM('FY 2008 Exp 01-06-10'!F11:H11)</f>
        <v>1727738.63</v>
      </c>
      <c r="AH57" s="155">
        <f t="shared" si="29"/>
        <v>0.16449178392525535</v>
      </c>
      <c r="AI57" s="156">
        <f>'FY 2008 Exp 01-06-10'!D11</f>
        <v>11177385</v>
      </c>
      <c r="AJ57" s="155">
        <f t="shared" si="30"/>
        <v>0.15457449394469278</v>
      </c>
      <c r="AK57" s="13">
        <f t="shared" si="31"/>
        <v>8775756.370000001</v>
      </c>
    </row>
    <row r="58" spans="1:37" ht="15.75" customHeight="1">
      <c r="A58" s="206" t="s">
        <v>35</v>
      </c>
      <c r="B58" s="207"/>
      <c r="C58" s="189">
        <f t="shared" si="19"/>
        <v>55086649</v>
      </c>
      <c r="D58" s="189">
        <f t="shared" si="20"/>
        <v>12381405</v>
      </c>
      <c r="E58" s="187">
        <f t="shared" si="13"/>
        <v>0.22476235575701836</v>
      </c>
      <c r="F58" s="189">
        <f t="shared" si="21"/>
        <v>1390257.25</v>
      </c>
      <c r="G58" s="25">
        <f>C58*0.25</f>
        <v>13771662.25</v>
      </c>
      <c r="H58" s="25">
        <f>C58-D58</f>
        <v>42705244</v>
      </c>
      <c r="I58" s="1">
        <v>0.25</v>
      </c>
      <c r="J58" s="135" t="s">
        <v>35</v>
      </c>
      <c r="K58" s="156">
        <v>55086649</v>
      </c>
      <c r="L58" s="156">
        <v>12381405</v>
      </c>
      <c r="M58" s="155">
        <f t="shared" si="15"/>
        <v>0.22476235575701836</v>
      </c>
      <c r="N58" s="156">
        <v>45271679</v>
      </c>
      <c r="O58" s="156">
        <v>14516965</v>
      </c>
      <c r="P58" s="155">
        <f t="shared" si="16"/>
        <v>0.32066327824952107</v>
      </c>
      <c r="Q58" s="156">
        <f t="shared" si="23"/>
        <v>30754714</v>
      </c>
      <c r="R58" s="156">
        <v>45505343</v>
      </c>
      <c r="S58" s="156">
        <v>10123249</v>
      </c>
      <c r="T58" s="155">
        <f t="shared" si="17"/>
        <v>0.22246286551449573</v>
      </c>
      <c r="U58" s="156">
        <f t="shared" si="24"/>
        <v>35382094</v>
      </c>
      <c r="V58" s="156">
        <v>45971504</v>
      </c>
      <c r="W58" s="156">
        <v>10570096.859999999</v>
      </c>
      <c r="X58" s="155">
        <f t="shared" si="18"/>
        <v>0.22992714921835056</v>
      </c>
      <c r="Y58" s="156">
        <f t="shared" si="25"/>
        <v>35401407.140000001</v>
      </c>
      <c r="Z58" s="156">
        <f>'FY 2009 Exp 01-06-10'!C12</f>
        <v>44763416</v>
      </c>
      <c r="AA58" s="156">
        <f>SUM('FY 2009 Exp 01-06-10'!F12:H12)</f>
        <v>8279918.04</v>
      </c>
      <c r="AB58" s="155">
        <f t="shared" si="26"/>
        <v>0.18497064745907685</v>
      </c>
      <c r="AC58" s="156">
        <f>'FY 2009 Exp 01-06-10'!D12</f>
        <v>45148643</v>
      </c>
      <c r="AD58" s="155">
        <f t="shared" si="27"/>
        <v>0.18339240096319173</v>
      </c>
      <c r="AE58" s="13">
        <f t="shared" si="28"/>
        <v>36483497.960000001</v>
      </c>
      <c r="AF58" s="156">
        <f>'FY 2008 Exp 01-06-10'!C12</f>
        <v>44214975</v>
      </c>
      <c r="AG58" s="156">
        <f>SUM('FY 2008 Exp 01-06-10'!F12:H12)</f>
        <v>8113518.5800000001</v>
      </c>
      <c r="AH58" s="155">
        <f t="shared" si="29"/>
        <v>0.18350159827072163</v>
      </c>
      <c r="AI58" s="156">
        <f>'FY 2008 Exp 01-06-10'!D12</f>
        <v>44791732</v>
      </c>
      <c r="AJ58" s="155">
        <f t="shared" si="30"/>
        <v>0.18113875525063419</v>
      </c>
      <c r="AK58" s="13">
        <f t="shared" si="31"/>
        <v>36101456.420000002</v>
      </c>
    </row>
    <row r="59" spans="1:37" ht="15.75" customHeight="1" thickBot="1">
      <c r="A59" s="206" t="s">
        <v>36</v>
      </c>
      <c r="B59" s="207"/>
      <c r="C59" s="189">
        <f t="shared" si="19"/>
        <v>330000</v>
      </c>
      <c r="D59" s="189">
        <f t="shared" si="20"/>
        <v>17646</v>
      </c>
      <c r="E59" s="187">
        <f t="shared" si="13"/>
        <v>5.3472727272727276E-2</v>
      </c>
      <c r="F59" s="189">
        <f t="shared" si="21"/>
        <v>64854</v>
      </c>
      <c r="G59" s="25">
        <f t="shared" si="22"/>
        <v>82500</v>
      </c>
      <c r="H59" s="25">
        <f t="shared" si="14"/>
        <v>312354</v>
      </c>
      <c r="I59" s="1">
        <v>0.25</v>
      </c>
      <c r="J59" s="135" t="s">
        <v>36</v>
      </c>
      <c r="K59" s="158">
        <v>330000</v>
      </c>
      <c r="L59" s="158">
        <v>17646</v>
      </c>
      <c r="M59" s="152">
        <f t="shared" si="15"/>
        <v>5.3472727272727276E-2</v>
      </c>
      <c r="N59" s="158">
        <v>9085000</v>
      </c>
      <c r="O59" s="158">
        <v>9085000</v>
      </c>
      <c r="P59" s="152">
        <f t="shared" si="16"/>
        <v>1</v>
      </c>
      <c r="Q59" s="158">
        <f t="shared" si="23"/>
        <v>0</v>
      </c>
      <c r="R59" s="158">
        <v>9355000</v>
      </c>
      <c r="S59" s="158">
        <v>2905000</v>
      </c>
      <c r="T59" s="152">
        <f t="shared" si="17"/>
        <v>0.310529128808124</v>
      </c>
      <c r="U59" s="158">
        <f t="shared" si="24"/>
        <v>6450000</v>
      </c>
      <c r="V59" s="158">
        <v>8370000</v>
      </c>
      <c r="W59" s="158">
        <v>0</v>
      </c>
      <c r="X59" s="152">
        <f t="shared" si="18"/>
        <v>0</v>
      </c>
      <c r="Y59" s="158">
        <f t="shared" si="25"/>
        <v>8370000</v>
      </c>
      <c r="Z59" s="158">
        <f>'FY 2009 Exp 01-06-10'!C14</f>
        <v>8707782</v>
      </c>
      <c r="AA59" s="158">
        <f>SUM('FY 2009 Exp 01-06-10'!F14:H14)</f>
        <v>2000000</v>
      </c>
      <c r="AB59" s="152">
        <f t="shared" si="26"/>
        <v>0.22967961301741363</v>
      </c>
      <c r="AC59" s="158">
        <f>'FY 2009 Exp 01-06-10'!D14</f>
        <v>13464262</v>
      </c>
      <c r="AD59" s="152">
        <f t="shared" si="27"/>
        <v>0.14854137568030093</v>
      </c>
      <c r="AE59" s="159">
        <f t="shared" si="28"/>
        <v>6707782</v>
      </c>
      <c r="AF59" s="158">
        <f>'FY 2008 Exp 01-06-10'!C14</f>
        <v>9046853</v>
      </c>
      <c r="AG59" s="158">
        <f>SUM('FY 2008 Exp 01-06-10'!F14:H14)</f>
        <v>1000000</v>
      </c>
      <c r="AH59" s="152">
        <f t="shared" si="29"/>
        <v>0.11053567467051803</v>
      </c>
      <c r="AI59" s="158">
        <f>'FY 2008 Exp 01-06-10'!D14</f>
        <v>19089565</v>
      </c>
      <c r="AJ59" s="152">
        <f t="shared" si="30"/>
        <v>5.2384640509094887E-2</v>
      </c>
      <c r="AK59" s="159">
        <f t="shared" si="31"/>
        <v>8046853</v>
      </c>
    </row>
    <row r="60" spans="1:37" ht="15.75" customHeight="1" thickBot="1">
      <c r="A60" s="210" t="s">
        <v>28</v>
      </c>
      <c r="B60" s="211"/>
      <c r="C60" s="186">
        <f>SUM(C49:C59)</f>
        <v>151995430</v>
      </c>
      <c r="D60" s="186">
        <f>SUM(D49:D59)</f>
        <v>31769863</v>
      </c>
      <c r="E60" s="187">
        <f t="shared" si="13"/>
        <v>0.20901854088639377</v>
      </c>
      <c r="F60" s="188">
        <f t="shared" si="21"/>
        <v>6228994.5</v>
      </c>
      <c r="G60" s="14">
        <f t="shared" si="22"/>
        <v>37998857.5</v>
      </c>
      <c r="J60" s="107"/>
      <c r="K60" s="157">
        <f>SUM(K49:K59)</f>
        <v>151995430</v>
      </c>
      <c r="L60" s="157">
        <f>SUM(L49:L59)</f>
        <v>31769863</v>
      </c>
      <c r="M60" s="153">
        <f t="shared" si="15"/>
        <v>0.20901854088639377</v>
      </c>
      <c r="N60" s="157">
        <f>SUM(N49:N59)</f>
        <v>146765759</v>
      </c>
      <c r="O60" s="157">
        <f>SUM(O49:O59)</f>
        <v>48051109</v>
      </c>
      <c r="P60" s="153">
        <f t="shared" si="16"/>
        <v>0.32739999661637698</v>
      </c>
      <c r="Q60" s="157">
        <f>SUM(Q49:Q59)</f>
        <v>98714650</v>
      </c>
      <c r="R60" s="157">
        <f>SUM(R49:R59)</f>
        <v>153678623</v>
      </c>
      <c r="S60" s="157">
        <f>SUM(S49:S59)</f>
        <v>34227742</v>
      </c>
      <c r="T60" s="153">
        <f t="shared" si="17"/>
        <v>0.22272285716667309</v>
      </c>
      <c r="U60" s="157">
        <f>SUM(U49:U59)</f>
        <v>119450881</v>
      </c>
      <c r="V60" s="157">
        <f>SUM(V49:V59)</f>
        <v>152858941</v>
      </c>
      <c r="W60" s="157">
        <f>SUM(W49:W59)</f>
        <v>29242490.469999999</v>
      </c>
      <c r="X60" s="153">
        <f t="shared" si="18"/>
        <v>0.19130376200892299</v>
      </c>
      <c r="Y60" s="157">
        <f>SUM(Y49:Y59)</f>
        <v>123616450.53</v>
      </c>
      <c r="Z60" s="157">
        <f t="shared" ref="Z60:AK60" si="32">SUM(Z49:Z59)</f>
        <v>150486607</v>
      </c>
      <c r="AA60" s="157">
        <f t="shared" si="32"/>
        <v>25581897.98</v>
      </c>
      <c r="AB60" s="153">
        <f t="shared" si="26"/>
        <v>0.16999451638908969</v>
      </c>
      <c r="AC60" s="157">
        <f t="shared" si="32"/>
        <v>154788048</v>
      </c>
      <c r="AD60" s="153">
        <f t="shared" si="27"/>
        <v>0.16527049930883553</v>
      </c>
      <c r="AE60" s="157">
        <f t="shared" si="32"/>
        <v>124904709.02000001</v>
      </c>
      <c r="AF60" s="157">
        <f t="shared" si="32"/>
        <v>145532969</v>
      </c>
      <c r="AG60" s="157">
        <f t="shared" si="32"/>
        <v>22319067.530000001</v>
      </c>
      <c r="AH60" s="153">
        <f t="shared" si="29"/>
        <v>0.1533609029167817</v>
      </c>
      <c r="AI60" s="157">
        <f t="shared" si="32"/>
        <v>155602576</v>
      </c>
      <c r="AJ60" s="153">
        <f t="shared" si="30"/>
        <v>0.14343636271163018</v>
      </c>
      <c r="AK60" s="157">
        <f t="shared" si="32"/>
        <v>123213901.47</v>
      </c>
    </row>
    <row r="61" spans="1:37" ht="15.75" customHeight="1" thickTop="1">
      <c r="A61" s="192"/>
      <c r="B61" s="192"/>
      <c r="C61" s="193"/>
      <c r="D61" s="193"/>
      <c r="E61" s="194"/>
      <c r="F61" s="195"/>
      <c r="G61" s="14"/>
      <c r="J61" s="107"/>
      <c r="K61" s="107"/>
      <c r="L61" s="107"/>
      <c r="M61" s="107"/>
      <c r="N61" s="24"/>
      <c r="O61" s="24"/>
      <c r="P61" s="170"/>
      <c r="Q61" s="24"/>
      <c r="R61" s="24"/>
      <c r="S61" s="24"/>
      <c r="T61" s="170"/>
      <c r="U61" s="24"/>
      <c r="V61" s="24"/>
      <c r="W61" s="24"/>
      <c r="X61" s="170"/>
      <c r="Y61" s="24"/>
      <c r="Z61" s="170"/>
      <c r="AA61" s="24"/>
      <c r="AB61" s="24"/>
      <c r="AC61" s="24"/>
      <c r="AD61" s="170"/>
      <c r="AE61" s="24"/>
      <c r="AF61" s="170"/>
      <c r="AG61" s="24"/>
    </row>
    <row r="62" spans="1:37" ht="15.75" customHeight="1">
      <c r="A62" s="192"/>
      <c r="B62" s="192"/>
      <c r="C62" s="193"/>
      <c r="D62" s="193"/>
      <c r="E62" s="194"/>
      <c r="F62" s="195"/>
      <c r="G62" s="14"/>
      <c r="J62" s="107"/>
      <c r="K62" s="107"/>
      <c r="L62" s="107"/>
      <c r="M62" s="107"/>
      <c r="N62" s="24"/>
      <c r="O62" s="24"/>
      <c r="P62" s="170"/>
      <c r="Q62" s="24"/>
      <c r="R62" s="24"/>
      <c r="S62" s="24"/>
      <c r="T62" s="170"/>
      <c r="U62" s="24"/>
      <c r="V62" s="24"/>
      <c r="W62" s="24"/>
      <c r="X62" s="170"/>
      <c r="Y62" s="24"/>
      <c r="Z62" s="170"/>
      <c r="AA62" s="24"/>
      <c r="AB62" s="24"/>
      <c r="AC62" s="24"/>
      <c r="AD62" s="170"/>
      <c r="AE62" s="24"/>
      <c r="AF62" s="170"/>
      <c r="AG62" s="24"/>
    </row>
    <row r="63" spans="1:37" ht="15.75">
      <c r="A63" s="183"/>
      <c r="B63" s="183"/>
      <c r="C63" s="183"/>
      <c r="D63" s="183"/>
      <c r="E63" s="183"/>
      <c r="F63" s="183"/>
    </row>
    <row r="64" spans="1:37" ht="15.75">
      <c r="A64" s="183"/>
      <c r="B64" s="183"/>
      <c r="C64" s="183"/>
      <c r="D64" s="183"/>
      <c r="E64" s="183"/>
      <c r="F64" s="183"/>
    </row>
    <row r="65" spans="1:6" ht="15.75">
      <c r="A65" s="183"/>
      <c r="B65" s="183"/>
      <c r="C65" s="183"/>
      <c r="D65" s="183"/>
      <c r="E65" s="183"/>
      <c r="F65" s="183"/>
    </row>
    <row r="66" spans="1:6" ht="15.75">
      <c r="A66" s="183"/>
      <c r="B66" s="183"/>
      <c r="C66" s="183"/>
      <c r="D66" s="183"/>
      <c r="E66" s="183"/>
      <c r="F66" s="183"/>
    </row>
    <row r="67" spans="1:6" ht="15.75">
      <c r="A67" s="183"/>
      <c r="B67" s="183"/>
      <c r="C67" s="183"/>
      <c r="D67" s="183"/>
      <c r="E67" s="183"/>
      <c r="F67" s="183"/>
    </row>
    <row r="68" spans="1:6" ht="15.75">
      <c r="A68" s="183"/>
      <c r="B68" s="183"/>
      <c r="C68" s="183"/>
      <c r="D68" s="183"/>
      <c r="E68" s="183"/>
      <c r="F68" s="183"/>
    </row>
    <row r="69" spans="1:6" ht="15.75">
      <c r="A69" s="183"/>
      <c r="B69" s="183"/>
      <c r="C69" s="183"/>
      <c r="D69" s="183"/>
      <c r="E69" s="183"/>
      <c r="F69" s="183"/>
    </row>
    <row r="70" spans="1:6" ht="15.75">
      <c r="A70" s="183"/>
      <c r="B70" s="183"/>
      <c r="C70" s="183"/>
      <c r="D70" s="183"/>
      <c r="E70" s="183"/>
      <c r="F70" s="183"/>
    </row>
    <row r="71" spans="1:6" ht="15.75">
      <c r="A71" s="183"/>
      <c r="B71" s="183"/>
      <c r="C71" s="183"/>
      <c r="D71" s="183"/>
      <c r="E71" s="183"/>
      <c r="F71" s="183"/>
    </row>
    <row r="72" spans="1:6" ht="15.75">
      <c r="A72" s="183"/>
      <c r="B72" s="183"/>
      <c r="C72" s="183"/>
      <c r="D72" s="183"/>
      <c r="E72" s="183"/>
      <c r="F72" s="183"/>
    </row>
    <row r="73" spans="1:6" ht="15.75">
      <c r="A73" s="183"/>
      <c r="B73" s="183"/>
      <c r="C73" s="183"/>
      <c r="D73" s="183"/>
      <c r="E73" s="183"/>
      <c r="F73" s="183"/>
    </row>
    <row r="74" spans="1:6" ht="15.75">
      <c r="A74" s="183"/>
      <c r="B74" s="183"/>
      <c r="C74" s="183"/>
      <c r="D74" s="183"/>
      <c r="E74" s="183"/>
      <c r="F74" s="183"/>
    </row>
    <row r="75" spans="1:6" ht="15.75">
      <c r="A75" s="183"/>
      <c r="B75" s="183"/>
      <c r="C75" s="183"/>
      <c r="D75" s="183"/>
      <c r="E75" s="183"/>
      <c r="F75" s="183"/>
    </row>
    <row r="76" spans="1:6" ht="15.75">
      <c r="A76" s="183"/>
      <c r="B76" s="183"/>
      <c r="C76" s="183"/>
      <c r="D76" s="183"/>
      <c r="E76" s="183"/>
      <c r="F76" s="183"/>
    </row>
    <row r="77" spans="1:6" ht="15.75">
      <c r="A77" s="183"/>
      <c r="B77" s="183"/>
      <c r="C77" s="183"/>
      <c r="D77" s="183"/>
      <c r="E77" s="183"/>
      <c r="F77" s="183"/>
    </row>
    <row r="78" spans="1:6" ht="15.75">
      <c r="A78" s="183"/>
      <c r="B78" s="183"/>
      <c r="C78" s="183"/>
      <c r="D78" s="183"/>
      <c r="E78" s="183"/>
      <c r="F78" s="183"/>
    </row>
    <row r="79" spans="1:6" ht="15.75">
      <c r="A79" s="183"/>
      <c r="B79" s="183"/>
      <c r="C79" s="183"/>
      <c r="D79" s="183"/>
      <c r="E79" s="183"/>
      <c r="F79" s="183"/>
    </row>
    <row r="80" spans="1:6" ht="15.75">
      <c r="A80" s="183"/>
      <c r="B80" s="183"/>
      <c r="C80" s="183"/>
      <c r="D80" s="183"/>
      <c r="E80" s="183"/>
      <c r="F80" s="183"/>
    </row>
    <row r="81" spans="1:6" ht="15.75">
      <c r="A81" s="183"/>
      <c r="B81" s="183"/>
      <c r="C81" s="183"/>
      <c r="D81" s="183"/>
      <c r="E81" s="183"/>
      <c r="F81" s="183"/>
    </row>
    <row r="82" spans="1:6" ht="15.75">
      <c r="A82" s="183"/>
      <c r="B82" s="183"/>
      <c r="C82" s="183"/>
      <c r="D82" s="183"/>
      <c r="E82" s="183"/>
      <c r="F82" s="183"/>
    </row>
    <row r="83" spans="1:6" ht="15.75">
      <c r="A83" s="183"/>
      <c r="B83" s="183"/>
      <c r="C83" s="183"/>
      <c r="D83" s="183"/>
      <c r="E83" s="183"/>
      <c r="F83" s="183"/>
    </row>
    <row r="84" spans="1:6" ht="15.75">
      <c r="A84" s="183"/>
      <c r="B84" s="183"/>
      <c r="C84" s="183"/>
      <c r="D84" s="183"/>
      <c r="E84" s="183"/>
      <c r="F84" s="183"/>
    </row>
    <row r="85" spans="1:6" ht="15.75">
      <c r="A85" s="183"/>
      <c r="B85" s="183"/>
      <c r="C85" s="183"/>
      <c r="D85" s="183"/>
      <c r="E85" s="183"/>
      <c r="F85" s="183"/>
    </row>
    <row r="86" spans="1:6" ht="15.75">
      <c r="A86" s="183"/>
      <c r="B86" s="183"/>
      <c r="C86" s="183"/>
      <c r="D86" s="183"/>
      <c r="E86" s="183"/>
      <c r="F86" s="183"/>
    </row>
    <row r="87" spans="1:6" ht="15.75">
      <c r="A87" s="183"/>
      <c r="B87" s="183"/>
      <c r="C87" s="183"/>
      <c r="D87" s="183"/>
      <c r="E87" s="183"/>
      <c r="F87" s="183"/>
    </row>
    <row r="88" spans="1:6" ht="15.75">
      <c r="A88" s="183"/>
      <c r="B88" s="183"/>
      <c r="C88" s="183"/>
      <c r="D88" s="183"/>
      <c r="E88" s="183"/>
      <c r="F88" s="183"/>
    </row>
    <row r="89" spans="1:6" ht="15.75">
      <c r="A89" s="183"/>
      <c r="B89" s="183"/>
      <c r="C89" s="183"/>
      <c r="D89" s="183"/>
      <c r="E89" s="183"/>
      <c r="F89" s="183"/>
    </row>
    <row r="90" spans="1:6" ht="15.75">
      <c r="A90" s="183"/>
      <c r="B90" s="183"/>
      <c r="C90" s="183"/>
      <c r="D90" s="183"/>
      <c r="E90" s="183"/>
      <c r="F90" s="183"/>
    </row>
    <row r="91" spans="1:6" ht="15.75">
      <c r="A91" s="183"/>
      <c r="B91" s="183"/>
      <c r="C91" s="183"/>
      <c r="D91" s="183"/>
      <c r="E91" s="183"/>
      <c r="F91" s="183"/>
    </row>
    <row r="92" spans="1:6" ht="15.75">
      <c r="A92" s="183"/>
      <c r="B92" s="183"/>
      <c r="C92" s="183"/>
      <c r="D92" s="183"/>
      <c r="E92" s="183"/>
      <c r="F92" s="183"/>
    </row>
    <row r="93" spans="1:6" ht="15.75">
      <c r="A93" s="183"/>
      <c r="B93" s="183"/>
      <c r="C93" s="183"/>
      <c r="D93" s="183"/>
      <c r="E93" s="183"/>
      <c r="F93" s="183"/>
    </row>
    <row r="94" spans="1:6" ht="15.75">
      <c r="A94" s="183"/>
      <c r="B94" s="183"/>
      <c r="C94" s="183"/>
      <c r="D94" s="183"/>
      <c r="E94" s="183"/>
      <c r="F94" s="183"/>
    </row>
    <row r="95" spans="1:6" ht="15.75">
      <c r="A95" s="183"/>
      <c r="B95" s="183"/>
      <c r="C95" s="183"/>
      <c r="D95" s="183"/>
      <c r="E95" s="183"/>
      <c r="F95" s="183"/>
    </row>
    <row r="96" spans="1:6" ht="15.75">
      <c r="A96" s="183"/>
      <c r="B96" s="183"/>
      <c r="C96" s="183"/>
      <c r="D96" s="183"/>
      <c r="E96" s="183"/>
      <c r="F96" s="183"/>
    </row>
    <row r="97" spans="1:6" ht="15.75">
      <c r="A97" s="183"/>
      <c r="B97" s="183"/>
      <c r="C97" s="183"/>
      <c r="D97" s="183"/>
      <c r="E97" s="183"/>
      <c r="F97" s="183"/>
    </row>
    <row r="98" spans="1:6" ht="15.75">
      <c r="A98" s="183"/>
      <c r="B98" s="183"/>
      <c r="C98" s="183"/>
      <c r="D98" s="183"/>
      <c r="E98" s="183"/>
      <c r="F98" s="183"/>
    </row>
    <row r="99" spans="1:6" ht="15.75">
      <c r="A99" s="183"/>
      <c r="B99" s="183"/>
      <c r="C99" s="183"/>
      <c r="D99" s="183"/>
      <c r="E99" s="183"/>
      <c r="F99" s="183"/>
    </row>
    <row r="100" spans="1:6" ht="15.75">
      <c r="A100" s="183"/>
      <c r="B100" s="183"/>
      <c r="C100" s="183"/>
      <c r="D100" s="183"/>
      <c r="E100" s="183"/>
      <c r="F100" s="183"/>
    </row>
    <row r="101" spans="1:6" ht="15.75">
      <c r="A101" s="183"/>
      <c r="B101" s="183"/>
      <c r="C101" s="183"/>
      <c r="D101" s="183"/>
      <c r="E101" s="183"/>
      <c r="F101" s="183"/>
    </row>
    <row r="102" spans="1:6" ht="15.75">
      <c r="A102" s="183"/>
      <c r="B102" s="183"/>
      <c r="C102" s="183"/>
      <c r="D102" s="183"/>
      <c r="E102" s="183"/>
      <c r="F102" s="183"/>
    </row>
    <row r="103" spans="1:6" ht="15.75">
      <c r="A103" s="183"/>
      <c r="B103" s="183"/>
      <c r="C103" s="183"/>
      <c r="D103" s="183"/>
      <c r="E103" s="183"/>
      <c r="F103" s="183"/>
    </row>
    <row r="104" spans="1:6" ht="15.75">
      <c r="A104" s="183"/>
      <c r="B104" s="183"/>
      <c r="C104" s="183"/>
      <c r="D104" s="183"/>
      <c r="E104" s="183"/>
      <c r="F104" s="183"/>
    </row>
    <row r="105" spans="1:6" ht="15.75">
      <c r="A105" s="183"/>
      <c r="B105" s="183"/>
      <c r="C105" s="183"/>
      <c r="D105" s="183"/>
      <c r="E105" s="183"/>
      <c r="F105" s="183"/>
    </row>
    <row r="106" spans="1:6" ht="15.75">
      <c r="A106" s="183"/>
      <c r="B106" s="183"/>
      <c r="C106" s="183"/>
      <c r="D106" s="183"/>
      <c r="E106" s="183"/>
      <c r="F106" s="183"/>
    </row>
    <row r="107" spans="1:6" ht="15.75">
      <c r="A107" s="183"/>
      <c r="B107" s="183"/>
      <c r="C107" s="183"/>
      <c r="D107" s="183"/>
      <c r="E107" s="183"/>
      <c r="F107" s="183"/>
    </row>
    <row r="108" spans="1:6" ht="15.75">
      <c r="A108" s="183"/>
      <c r="B108" s="183"/>
      <c r="C108" s="183"/>
      <c r="D108" s="183"/>
      <c r="E108" s="183"/>
      <c r="F108" s="183"/>
    </row>
    <row r="109" spans="1:6" ht="15.75">
      <c r="A109" s="183"/>
      <c r="B109" s="183"/>
      <c r="C109" s="183"/>
      <c r="D109" s="183"/>
      <c r="E109" s="183"/>
      <c r="F109" s="183"/>
    </row>
    <row r="110" spans="1:6" ht="15.75">
      <c r="A110" s="183"/>
      <c r="B110" s="183"/>
      <c r="C110" s="183"/>
      <c r="D110" s="183"/>
      <c r="E110" s="183"/>
      <c r="F110" s="183"/>
    </row>
    <row r="111" spans="1:6" ht="15.75">
      <c r="A111" s="183"/>
      <c r="B111" s="183"/>
      <c r="C111" s="183"/>
      <c r="D111" s="183"/>
      <c r="E111" s="183"/>
      <c r="F111" s="183"/>
    </row>
    <row r="112" spans="1:6" ht="15.75">
      <c r="A112" s="183"/>
      <c r="B112" s="183"/>
      <c r="C112" s="183"/>
      <c r="D112" s="183"/>
      <c r="E112" s="183"/>
      <c r="F112" s="183"/>
    </row>
    <row r="113" spans="1:6" ht="15.75">
      <c r="A113" s="183"/>
      <c r="B113" s="183"/>
      <c r="C113" s="183"/>
      <c r="D113" s="183"/>
      <c r="E113" s="183"/>
      <c r="F113" s="183"/>
    </row>
    <row r="114" spans="1:6" ht="15.75">
      <c r="A114" s="183"/>
      <c r="B114" s="183"/>
      <c r="C114" s="183"/>
      <c r="D114" s="183"/>
      <c r="E114" s="183"/>
      <c r="F114" s="183"/>
    </row>
    <row r="115" spans="1:6" ht="15.75">
      <c r="A115" s="183"/>
      <c r="B115" s="183"/>
      <c r="C115" s="183"/>
      <c r="D115" s="183"/>
      <c r="E115" s="183"/>
      <c r="F115" s="183"/>
    </row>
    <row r="116" spans="1:6" ht="15.75">
      <c r="A116" s="183"/>
      <c r="B116" s="183"/>
      <c r="C116" s="183"/>
      <c r="D116" s="183"/>
      <c r="E116" s="183"/>
      <c r="F116" s="183"/>
    </row>
    <row r="117" spans="1:6" ht="15.75">
      <c r="A117" s="183"/>
      <c r="B117" s="183"/>
      <c r="C117" s="183"/>
      <c r="D117" s="183"/>
      <c r="E117" s="183"/>
      <c r="F117" s="183"/>
    </row>
    <row r="118" spans="1:6" ht="15.75">
      <c r="A118" s="183"/>
      <c r="B118" s="183"/>
      <c r="C118" s="183"/>
      <c r="D118" s="183"/>
      <c r="E118" s="183"/>
      <c r="F118" s="183"/>
    </row>
    <row r="119" spans="1:6" ht="15.75">
      <c r="A119" s="183"/>
      <c r="B119" s="183"/>
      <c r="C119" s="183"/>
      <c r="D119" s="183"/>
      <c r="E119" s="183"/>
      <c r="F119" s="183"/>
    </row>
    <row r="120" spans="1:6" ht="15.75">
      <c r="A120" s="183"/>
      <c r="B120" s="183"/>
      <c r="C120" s="183"/>
      <c r="D120" s="183"/>
      <c r="E120" s="183"/>
      <c r="F120" s="183"/>
    </row>
    <row r="121" spans="1:6" ht="15.75">
      <c r="A121" s="183"/>
      <c r="B121" s="183"/>
      <c r="C121" s="183"/>
      <c r="D121" s="183"/>
      <c r="E121" s="183"/>
      <c r="F121" s="183"/>
    </row>
    <row r="122" spans="1:6" ht="15.75">
      <c r="A122" s="183"/>
      <c r="B122" s="183"/>
      <c r="C122" s="183"/>
      <c r="D122" s="183"/>
      <c r="E122" s="183"/>
      <c r="F122" s="183"/>
    </row>
    <row r="123" spans="1:6" ht="15.75">
      <c r="A123" s="183"/>
      <c r="B123" s="183"/>
      <c r="C123" s="183"/>
      <c r="D123" s="183"/>
      <c r="E123" s="183"/>
      <c r="F123" s="183"/>
    </row>
    <row r="124" spans="1:6" ht="15.75">
      <c r="A124" s="183"/>
      <c r="B124" s="183"/>
      <c r="C124" s="183"/>
      <c r="D124" s="183"/>
      <c r="E124" s="183"/>
      <c r="F124" s="183"/>
    </row>
    <row r="125" spans="1:6" ht="15.75">
      <c r="A125" s="183"/>
      <c r="B125" s="183"/>
      <c r="C125" s="183"/>
      <c r="D125" s="183"/>
      <c r="E125" s="183"/>
      <c r="F125" s="183"/>
    </row>
    <row r="126" spans="1:6" ht="15.75">
      <c r="A126" s="183"/>
      <c r="B126" s="183"/>
      <c r="C126" s="183"/>
      <c r="D126" s="183"/>
      <c r="E126" s="183"/>
      <c r="F126" s="183"/>
    </row>
    <row r="127" spans="1:6" ht="15.75">
      <c r="A127" s="183"/>
      <c r="B127" s="183"/>
      <c r="C127" s="183"/>
      <c r="D127" s="183"/>
      <c r="E127" s="183"/>
      <c r="F127" s="183"/>
    </row>
    <row r="128" spans="1:6" ht="15.75">
      <c r="A128" s="183"/>
      <c r="B128" s="183"/>
      <c r="C128" s="183"/>
      <c r="D128" s="183"/>
      <c r="E128" s="183"/>
      <c r="F128" s="183"/>
    </row>
    <row r="129" spans="1:6" ht="15.75">
      <c r="A129" s="183"/>
      <c r="B129" s="183"/>
      <c r="C129" s="183"/>
      <c r="D129" s="183"/>
      <c r="E129" s="183"/>
      <c r="F129" s="183"/>
    </row>
    <row r="130" spans="1:6" ht="15.75">
      <c r="A130" s="183"/>
      <c r="B130" s="183"/>
      <c r="C130" s="183"/>
      <c r="D130" s="183"/>
      <c r="E130" s="183"/>
      <c r="F130" s="183"/>
    </row>
    <row r="131" spans="1:6" ht="15.75">
      <c r="A131" s="183"/>
      <c r="B131" s="183"/>
      <c r="C131" s="183"/>
      <c r="D131" s="183"/>
      <c r="E131" s="183"/>
      <c r="F131" s="183"/>
    </row>
    <row r="132" spans="1:6" ht="15.75">
      <c r="A132" s="183"/>
      <c r="B132" s="183"/>
      <c r="C132" s="183"/>
      <c r="D132" s="183"/>
      <c r="E132" s="183"/>
      <c r="F132" s="183"/>
    </row>
    <row r="133" spans="1:6" ht="15.75">
      <c r="A133" s="183"/>
      <c r="B133" s="183"/>
      <c r="C133" s="183"/>
      <c r="D133" s="183"/>
      <c r="E133" s="183"/>
      <c r="F133" s="183"/>
    </row>
    <row r="134" spans="1:6" ht="15.75">
      <c r="A134" s="183"/>
      <c r="B134" s="183"/>
      <c r="C134" s="183"/>
      <c r="D134" s="183"/>
      <c r="E134" s="183"/>
      <c r="F134" s="183"/>
    </row>
    <row r="135" spans="1:6" ht="15.75">
      <c r="A135" s="183"/>
      <c r="B135" s="183"/>
      <c r="C135" s="183"/>
      <c r="D135" s="183"/>
      <c r="E135" s="183"/>
      <c r="F135" s="183"/>
    </row>
    <row r="136" spans="1:6" ht="15.75">
      <c r="A136" s="183"/>
      <c r="B136" s="183"/>
      <c r="C136" s="183"/>
      <c r="D136" s="183"/>
      <c r="E136" s="183"/>
      <c r="F136" s="183"/>
    </row>
    <row r="137" spans="1:6" ht="15.75">
      <c r="A137" s="183"/>
      <c r="B137" s="183"/>
      <c r="C137" s="183"/>
      <c r="D137" s="183"/>
      <c r="E137" s="183"/>
      <c r="F137" s="183"/>
    </row>
    <row r="138" spans="1:6" ht="15.75">
      <c r="A138" s="183"/>
      <c r="B138" s="183"/>
      <c r="C138" s="183"/>
      <c r="D138" s="183"/>
      <c r="E138" s="183"/>
      <c r="F138" s="183"/>
    </row>
  </sheetData>
  <mergeCells count="26">
    <mergeCell ref="A59:B59"/>
    <mergeCell ref="A60:B60"/>
    <mergeCell ref="A53:B53"/>
    <mergeCell ref="A54:B54"/>
    <mergeCell ref="A55:B55"/>
    <mergeCell ref="A56:B56"/>
    <mergeCell ref="A57:B57"/>
    <mergeCell ref="A58:B58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18:B18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J31" zoomScaleNormal="100" workbookViewId="0">
      <selection activeCell="L49" sqref="L49:L5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2.5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14" style="2" customWidth="1"/>
    <col min="28" max="28" width="13.375" style="2" customWidth="1"/>
    <col min="29" max="29" width="11.875" style="2" customWidth="1"/>
    <col min="30" max="30" width="12.75" style="2" customWidth="1"/>
    <col min="31" max="31" width="9" style="2"/>
    <col min="32" max="32" width="14.125" style="2" customWidth="1"/>
    <col min="33" max="33" width="9" style="2"/>
    <col min="34" max="34" width="13.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56</v>
      </c>
    </row>
    <row r="3" spans="1:29" ht="15.95" customHeight="1">
      <c r="B3" s="202" t="s">
        <v>43</v>
      </c>
      <c r="C3" s="202"/>
      <c r="D3" s="202"/>
      <c r="E3" s="3"/>
      <c r="F3" s="3" t="s">
        <v>57</v>
      </c>
    </row>
    <row r="4" spans="1:29" ht="15.95" customHeight="1">
      <c r="E4" s="3"/>
      <c r="F4" s="3" t="s">
        <v>58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38</v>
      </c>
      <c r="B8" s="7" t="s">
        <v>39</v>
      </c>
    </row>
    <row r="9" spans="1:29" ht="19.5" customHeight="1">
      <c r="A9" s="6" t="s">
        <v>40</v>
      </c>
      <c r="B9" s="7" t="s">
        <v>98</v>
      </c>
    </row>
    <row r="10" spans="1:29" ht="19.5" customHeight="1">
      <c r="A10" s="6" t="s">
        <v>41</v>
      </c>
      <c r="B10" s="8">
        <v>41197</v>
      </c>
    </row>
    <row r="11" spans="1:29" ht="19.5" customHeight="1">
      <c r="A11" s="6" t="s">
        <v>42</v>
      </c>
      <c r="B11" s="7" t="s">
        <v>208</v>
      </c>
    </row>
    <row r="12" spans="1:29" ht="19.5" customHeight="1">
      <c r="A12" s="6"/>
      <c r="B12" s="7"/>
    </row>
    <row r="13" spans="1:29" ht="24.75" customHeight="1">
      <c r="A13" s="212"/>
      <c r="B13" s="212"/>
      <c r="C13" s="212"/>
      <c r="D13" s="212"/>
      <c r="E13" s="212"/>
      <c r="F13" s="212"/>
    </row>
    <row r="14" spans="1:29" ht="31.5" customHeight="1">
      <c r="A14" s="213" t="s">
        <v>29</v>
      </c>
      <c r="B14" s="213"/>
      <c r="C14" s="213"/>
      <c r="D14" s="213"/>
      <c r="E14" s="213"/>
      <c r="F14" s="213"/>
    </row>
    <row r="15" spans="1:29">
      <c r="K15" s="134"/>
      <c r="L15" s="134"/>
      <c r="M15" s="134"/>
      <c r="N15" s="134"/>
    </row>
    <row r="16" spans="1:29" ht="38.25">
      <c r="A16" s="214"/>
      <c r="B16" s="214"/>
      <c r="C16" s="9" t="s">
        <v>183</v>
      </c>
      <c r="D16" s="9" t="s">
        <v>209</v>
      </c>
      <c r="E16" s="9" t="s">
        <v>25</v>
      </c>
      <c r="F16" s="9" t="s">
        <v>210</v>
      </c>
      <c r="G16" s="10">
        <v>1</v>
      </c>
      <c r="H16" s="2" t="s">
        <v>44</v>
      </c>
      <c r="I16" s="10">
        <v>1</v>
      </c>
      <c r="K16" s="9" t="s">
        <v>183</v>
      </c>
      <c r="L16" s="9" t="s">
        <v>184</v>
      </c>
      <c r="M16" s="9">
        <v>2012</v>
      </c>
      <c r="N16" s="9" t="s">
        <v>143</v>
      </c>
      <c r="O16" s="9" t="s">
        <v>212</v>
      </c>
      <c r="P16" s="9" t="s">
        <v>187</v>
      </c>
      <c r="Q16" s="9">
        <v>2011</v>
      </c>
      <c r="R16" s="9" t="s">
        <v>99</v>
      </c>
      <c r="S16" s="9" t="s">
        <v>213</v>
      </c>
      <c r="T16" s="9" t="s">
        <v>142</v>
      </c>
      <c r="U16" s="9">
        <v>2010</v>
      </c>
      <c r="V16" s="9" t="s">
        <v>1</v>
      </c>
      <c r="W16" s="9" t="s">
        <v>133</v>
      </c>
      <c r="X16" s="9" t="s">
        <v>113</v>
      </c>
      <c r="Y16" s="9">
        <v>2009</v>
      </c>
      <c r="Z16" s="9" t="s">
        <v>111</v>
      </c>
      <c r="AA16" s="9" t="s">
        <v>134</v>
      </c>
      <c r="AB16" s="9" t="s">
        <v>114</v>
      </c>
      <c r="AC16" s="9">
        <v>2008</v>
      </c>
    </row>
    <row r="17" spans="1:29" ht="15.75" customHeight="1">
      <c r="A17" s="215" t="s">
        <v>26</v>
      </c>
      <c r="B17" s="215"/>
      <c r="C17" s="11">
        <f>K17</f>
        <v>124011587</v>
      </c>
      <c r="D17" s="11">
        <f>L17</f>
        <v>125475095</v>
      </c>
      <c r="E17" s="12">
        <f t="shared" ref="E17:E24" si="0">(D17/C17)</f>
        <v>1.0118013811080411</v>
      </c>
      <c r="F17" s="29">
        <f t="shared" ref="F17:F23" si="1">D17-G17</f>
        <v>1463508</v>
      </c>
      <c r="G17" s="14">
        <f>C17*1</f>
        <v>124011587</v>
      </c>
      <c r="H17" s="15">
        <v>0</v>
      </c>
      <c r="I17" s="10">
        <v>1</v>
      </c>
      <c r="J17" s="21" t="str">
        <f>A17</f>
        <v>Current / Delinquent Taxes</v>
      </c>
      <c r="K17" s="165">
        <v>124011587</v>
      </c>
      <c r="L17" s="165">
        <v>125475095</v>
      </c>
      <c r="M17" s="171">
        <f t="shared" ref="M17:M24" si="2">L17/K17</f>
        <v>1.0118013811080411</v>
      </c>
      <c r="N17" s="161">
        <v>130863490</v>
      </c>
      <c r="O17" s="161">
        <v>130891250</v>
      </c>
      <c r="P17" s="161">
        <v>131364776</v>
      </c>
      <c r="Q17" s="12">
        <f>O17/P17</f>
        <v>0.99639533507825573</v>
      </c>
      <c r="R17" s="11">
        <v>130450730</v>
      </c>
      <c r="S17" s="11">
        <v>129998044.09</v>
      </c>
      <c r="T17" s="166">
        <v>130271144</v>
      </c>
      <c r="U17" s="12">
        <f t="shared" ref="U17:U24" si="3">(S17/T17)</f>
        <v>0.99790360396313094</v>
      </c>
      <c r="V17" s="11">
        <f>'FY 2009 Rev 01-04-10'!E3</f>
        <v>119221816</v>
      </c>
      <c r="W17" s="11">
        <f>SUM('FY 2009 Rev 01-04-10'!F3:Q3)</f>
        <v>119765132.67000002</v>
      </c>
      <c r="X17" s="11">
        <v>119981009</v>
      </c>
      <c r="Y17" s="12">
        <f t="shared" ref="Y17:Y24" si="4">W17/X17</f>
        <v>0.99820074583636831</v>
      </c>
      <c r="Z17" s="11">
        <f>'FY 2008 Rev 01-04-10'!E3</f>
        <v>106565989</v>
      </c>
      <c r="AA17" s="11">
        <f>SUM('FY 2008 Rev 01-04-10'!F3:Q3)</f>
        <v>117399101.35000001</v>
      </c>
      <c r="AB17" s="11">
        <f>'FY 2008 Rev 01-04-10'!D3</f>
        <v>117399101.34999999</v>
      </c>
      <c r="AC17" s="12">
        <f t="shared" ref="AC17:AC24" si="5">AA17/AB17</f>
        <v>1.0000000000000002</v>
      </c>
    </row>
    <row r="18" spans="1:29" ht="15.75" customHeight="1">
      <c r="A18" s="215" t="s">
        <v>102</v>
      </c>
      <c r="B18" s="215"/>
      <c r="C18" s="22">
        <f t="shared" ref="C18:D23" si="6">K18</f>
        <v>4000</v>
      </c>
      <c r="D18" s="22">
        <f t="shared" si="6"/>
        <v>4500</v>
      </c>
      <c r="E18" s="12">
        <f>(D18/C18)</f>
        <v>1.125</v>
      </c>
      <c r="F18" s="22">
        <f>D18-G18</f>
        <v>500</v>
      </c>
      <c r="G18" s="14">
        <f t="shared" ref="G18:G24" si="7">C18*1</f>
        <v>4000</v>
      </c>
      <c r="H18" s="15">
        <v>0</v>
      </c>
      <c r="I18" s="10">
        <v>1</v>
      </c>
      <c r="J18" s="21" t="str">
        <f t="shared" ref="J18:J23" si="8">A18</f>
        <v>License / Permits</v>
      </c>
      <c r="K18" s="165">
        <v>4000</v>
      </c>
      <c r="L18" s="165">
        <v>4500</v>
      </c>
      <c r="M18" s="171">
        <f t="shared" si="2"/>
        <v>1.125</v>
      </c>
      <c r="N18" s="161">
        <v>4000</v>
      </c>
      <c r="O18" s="161">
        <v>6000</v>
      </c>
      <c r="P18" s="161">
        <v>6000</v>
      </c>
      <c r="Q18" s="12">
        <f t="shared" ref="Q18:Q24" si="9">O18/P18</f>
        <v>1</v>
      </c>
      <c r="R18" s="16">
        <f>C18</f>
        <v>4000</v>
      </c>
      <c r="S18" s="28">
        <v>2500</v>
      </c>
      <c r="T18" s="165">
        <v>2500</v>
      </c>
      <c r="U18" s="12">
        <f t="shared" si="3"/>
        <v>1</v>
      </c>
      <c r="V18" s="28">
        <f>'FY 2009 Rev 01-04-10'!E6</f>
        <v>4000</v>
      </c>
      <c r="W18" s="28">
        <f>SUM('FY 2009 Rev 01-04-10'!F6:Q6)</f>
        <v>4000</v>
      </c>
      <c r="X18" s="28">
        <f>'FY 2009 Rev 01-04-10'!D6</f>
        <v>4000</v>
      </c>
      <c r="Y18" s="12">
        <f t="shared" si="4"/>
        <v>1</v>
      </c>
      <c r="Z18" s="28">
        <f>'FY 2008 Rev 01-04-10'!E6</f>
        <v>4200</v>
      </c>
      <c r="AA18" s="28">
        <f>SUM('FY 2008 Rev 01-04-10'!F6:Q6)</f>
        <v>4000</v>
      </c>
      <c r="AB18" s="28">
        <f>'FY 2008 Rev 01-04-10'!D6</f>
        <v>4000</v>
      </c>
      <c r="AC18" s="12">
        <f t="shared" si="5"/>
        <v>1</v>
      </c>
    </row>
    <row r="19" spans="1:29" ht="15.75" customHeight="1">
      <c r="A19" s="215" t="s">
        <v>55</v>
      </c>
      <c r="B19" s="215"/>
      <c r="C19" s="22">
        <f t="shared" si="6"/>
        <v>3186800</v>
      </c>
      <c r="D19" s="22">
        <f t="shared" si="6"/>
        <v>3821606</v>
      </c>
      <c r="E19" s="12">
        <f t="shared" si="0"/>
        <v>1.1991985690975273</v>
      </c>
      <c r="F19" s="22">
        <f t="shared" si="1"/>
        <v>634806</v>
      </c>
      <c r="G19" s="14">
        <f t="shared" si="7"/>
        <v>3186800</v>
      </c>
      <c r="H19" s="27">
        <v>0</v>
      </c>
      <c r="I19" s="10">
        <v>1</v>
      </c>
      <c r="J19" s="21" t="str">
        <f t="shared" si="8"/>
        <v>Intergovernmental Revenue</v>
      </c>
      <c r="K19" s="165">
        <v>3186800</v>
      </c>
      <c r="L19" s="165">
        <f>32000+839384+1319414+1630808</f>
        <v>3821606</v>
      </c>
      <c r="M19" s="171">
        <f t="shared" si="2"/>
        <v>1.1991985690975273</v>
      </c>
      <c r="N19" s="161">
        <v>3312377</v>
      </c>
      <c r="O19" s="161">
        <v>3350379</v>
      </c>
      <c r="P19" s="161">
        <v>3356039</v>
      </c>
      <c r="Q19" s="12">
        <f t="shared" si="9"/>
        <v>0.99831348801369713</v>
      </c>
      <c r="R19" s="16">
        <v>3547135</v>
      </c>
      <c r="S19" s="28">
        <v>3244665.99</v>
      </c>
      <c r="T19" s="165">
        <v>3908666</v>
      </c>
      <c r="U19" s="12">
        <f t="shared" si="3"/>
        <v>0.83012106688061871</v>
      </c>
      <c r="V19" s="28">
        <f>'FY 2009 Rev 01-04-10'!E11</f>
        <v>3678780</v>
      </c>
      <c r="W19" s="28">
        <f>SUM('FY 2009 Rev 01-04-10'!F11:Q11)</f>
        <v>3987047.8600000003</v>
      </c>
      <c r="X19" s="28">
        <f>'FY 2009 Rev 01-04-10'!D11</f>
        <v>3992954.02</v>
      </c>
      <c r="Y19" s="12">
        <f t="shared" si="4"/>
        <v>0.99852085449258454</v>
      </c>
      <c r="Z19" s="28">
        <f>'FY 2008 Rev 01-04-10'!E11</f>
        <v>3079080</v>
      </c>
      <c r="AA19" s="28">
        <f>SUM('FY 2008 Rev 01-04-10'!F11:Q11)</f>
        <v>3979230.29</v>
      </c>
      <c r="AB19" s="28">
        <f>'FY 2008 Rev 01-04-10'!D11</f>
        <v>3979230.29</v>
      </c>
      <c r="AC19" s="12">
        <f t="shared" si="5"/>
        <v>1</v>
      </c>
    </row>
    <row r="20" spans="1:29" ht="15.75" customHeight="1">
      <c r="A20" s="215" t="s">
        <v>2</v>
      </c>
      <c r="B20" s="215"/>
      <c r="C20" s="22">
        <f t="shared" si="6"/>
        <v>16144661</v>
      </c>
      <c r="D20" s="22">
        <f t="shared" si="6"/>
        <v>17135252</v>
      </c>
      <c r="E20" s="12">
        <f t="shared" si="0"/>
        <v>1.0613571879892678</v>
      </c>
      <c r="F20" s="22">
        <f t="shared" si="1"/>
        <v>990591</v>
      </c>
      <c r="G20" s="14">
        <f t="shared" si="7"/>
        <v>16144661</v>
      </c>
      <c r="H20" s="27">
        <v>0</v>
      </c>
      <c r="I20" s="10">
        <v>1</v>
      </c>
      <c r="J20" s="21" t="str">
        <f t="shared" si="8"/>
        <v>Fees/Charges for Services</v>
      </c>
      <c r="K20" s="165">
        <v>16144661</v>
      </c>
      <c r="L20" s="165">
        <f>5653185+4927594+6354099+30860+169514</f>
        <v>17135252</v>
      </c>
      <c r="M20" s="171">
        <f t="shared" si="2"/>
        <v>1.0613571879892678</v>
      </c>
      <c r="N20" s="161">
        <v>15205012</v>
      </c>
      <c r="O20" s="161">
        <v>15709446</v>
      </c>
      <c r="P20" s="161">
        <v>15750927</v>
      </c>
      <c r="Q20" s="12">
        <f t="shared" si="9"/>
        <v>0.99736644071806058</v>
      </c>
      <c r="R20" s="16">
        <v>16957104</v>
      </c>
      <c r="S20" s="28">
        <v>14961200.730000002</v>
      </c>
      <c r="T20" s="165">
        <v>15217085</v>
      </c>
      <c r="U20" s="12">
        <f t="shared" si="3"/>
        <v>0.98318440949761421</v>
      </c>
      <c r="V20" s="28">
        <f>'FY 2009 Rev 01-04-10'!E18</f>
        <v>19143500</v>
      </c>
      <c r="W20" s="28">
        <f>SUM('FY 2009 Rev 01-04-10'!F18:Q18)</f>
        <v>15551032.399999999</v>
      </c>
      <c r="X20" s="28">
        <f>'FY 2009 Rev 01-04-10'!D18</f>
        <v>15850676.109999999</v>
      </c>
      <c r="Y20" s="12">
        <f t="shared" si="4"/>
        <v>0.9810958404600193</v>
      </c>
      <c r="Z20" s="28">
        <f>'FY 2008 Rev 01-04-10'!E18</f>
        <v>16631625</v>
      </c>
      <c r="AA20" s="28">
        <f>SUM('FY 2008 Rev 01-04-10'!F18:Q18)</f>
        <v>15930660.34</v>
      </c>
      <c r="AB20" s="28">
        <f>'FY 2008 Rev 01-04-10'!D18</f>
        <v>15930660.34</v>
      </c>
      <c r="AC20" s="12">
        <f t="shared" si="5"/>
        <v>1</v>
      </c>
    </row>
    <row r="21" spans="1:29" ht="15.75" customHeight="1">
      <c r="A21" s="215" t="s">
        <v>4</v>
      </c>
      <c r="B21" s="215"/>
      <c r="C21" s="22">
        <f t="shared" si="6"/>
        <v>1881000</v>
      </c>
      <c r="D21" s="22">
        <f t="shared" si="6"/>
        <v>2191532</v>
      </c>
      <c r="E21" s="12">
        <f t="shared" si="0"/>
        <v>1.1650887825624667</v>
      </c>
      <c r="F21" s="22">
        <f t="shared" si="1"/>
        <v>310532</v>
      </c>
      <c r="G21" s="14">
        <f t="shared" si="7"/>
        <v>1881000</v>
      </c>
      <c r="H21" s="27">
        <v>0</v>
      </c>
      <c r="I21" s="10">
        <v>1</v>
      </c>
      <c r="J21" s="21" t="str">
        <f t="shared" si="8"/>
        <v>Fines</v>
      </c>
      <c r="K21" s="165">
        <v>1881000</v>
      </c>
      <c r="L21" s="165">
        <v>2191532</v>
      </c>
      <c r="M21" s="171">
        <f t="shared" si="2"/>
        <v>1.1650887825624667</v>
      </c>
      <c r="N21" s="161">
        <v>1748000</v>
      </c>
      <c r="O21" s="161">
        <v>1989665</v>
      </c>
      <c r="P21" s="161">
        <v>1992671</v>
      </c>
      <c r="Q21" s="12">
        <f t="shared" si="9"/>
        <v>0.9984914719991409</v>
      </c>
      <c r="R21" s="16">
        <v>2301020</v>
      </c>
      <c r="S21" s="28">
        <v>1794927.36</v>
      </c>
      <c r="T21" s="165">
        <v>1821451</v>
      </c>
      <c r="U21" s="12">
        <f t="shared" si="3"/>
        <v>0.98543818087887081</v>
      </c>
      <c r="V21" s="28">
        <f>'FY 2009 Rev 01-04-10'!E20</f>
        <v>2771000</v>
      </c>
      <c r="W21" s="28">
        <f>SUM('FY 2009 Rev 01-04-10'!F20:Q20)</f>
        <v>2231421.4900000002</v>
      </c>
      <c r="X21" s="28">
        <f>'FY 2009 Rev 01-04-10'!D20</f>
        <v>2270389.13</v>
      </c>
      <c r="Y21" s="12">
        <f t="shared" si="4"/>
        <v>0.9828365809697126</v>
      </c>
      <c r="Z21" s="28">
        <f>'FY 2008 Rev 01-04-10'!E20</f>
        <v>2967500</v>
      </c>
      <c r="AA21" s="28">
        <f>SUM('FY 2008 Rev 01-04-10'!F20:Q20)</f>
        <v>2688475.7</v>
      </c>
      <c r="AB21" s="28">
        <f>'FY 2008 Rev 01-04-10'!D20</f>
        <v>2688475.7</v>
      </c>
      <c r="AC21" s="12">
        <f t="shared" si="5"/>
        <v>1</v>
      </c>
    </row>
    <row r="22" spans="1:29" ht="15.75" customHeight="1">
      <c r="A22" s="215" t="s">
        <v>3</v>
      </c>
      <c r="B22" s="215"/>
      <c r="C22" s="22">
        <f t="shared" si="6"/>
        <v>2019600</v>
      </c>
      <c r="D22" s="22">
        <f t="shared" si="6"/>
        <v>1193321</v>
      </c>
      <c r="E22" s="12">
        <f t="shared" si="0"/>
        <v>0.59086997425232723</v>
      </c>
      <c r="F22" s="22">
        <f t="shared" si="1"/>
        <v>-826279</v>
      </c>
      <c r="G22" s="14">
        <f t="shared" si="7"/>
        <v>2019600</v>
      </c>
      <c r="H22" s="27">
        <f>C22-D22</f>
        <v>826279</v>
      </c>
      <c r="I22" s="10">
        <v>1</v>
      </c>
      <c r="J22" s="21" t="str">
        <f t="shared" si="8"/>
        <v>Investment Revenue</v>
      </c>
      <c r="K22" s="165">
        <v>2019600</v>
      </c>
      <c r="L22" s="165">
        <f>1173169+20152</f>
        <v>1193321</v>
      </c>
      <c r="M22" s="171">
        <f t="shared" si="2"/>
        <v>0.59086997425232723</v>
      </c>
      <c r="N22" s="161">
        <v>1119600</v>
      </c>
      <c r="O22" s="161">
        <v>1750128</v>
      </c>
      <c r="P22" s="161">
        <v>2040386</v>
      </c>
      <c r="Q22" s="12">
        <f t="shared" si="9"/>
        <v>0.8577435838120826</v>
      </c>
      <c r="R22" s="16">
        <v>3133290</v>
      </c>
      <c r="S22" s="28">
        <v>2178097.27</v>
      </c>
      <c r="T22" s="165">
        <v>2192285</v>
      </c>
      <c r="U22" s="12">
        <f t="shared" si="3"/>
        <v>0.99352833687225883</v>
      </c>
      <c r="V22" s="28">
        <f>'FY 2009 Rev 01-04-10'!E23</f>
        <v>5168400</v>
      </c>
      <c r="W22" s="28">
        <f>SUM('FY 2009 Rev 01-04-10'!F23:Q23)</f>
        <v>3037572.64</v>
      </c>
      <c r="X22" s="28">
        <v>3458264</v>
      </c>
      <c r="Y22" s="12">
        <f t="shared" si="4"/>
        <v>0.87835186671694243</v>
      </c>
      <c r="Z22" s="28">
        <f>'FY 2008 Rev 01-04-10'!E23</f>
        <v>6994800</v>
      </c>
      <c r="AA22" s="28">
        <f>SUM('FY 2008 Rev 01-04-10'!F23:Q23)</f>
        <v>6575786.3600000003</v>
      </c>
      <c r="AB22" s="28">
        <f>'FY 2008 Rev 01-04-10'!D23</f>
        <v>6575786.3600000003</v>
      </c>
      <c r="AC22" s="12">
        <f t="shared" si="5"/>
        <v>1</v>
      </c>
    </row>
    <row r="23" spans="1:29" ht="15.75" customHeight="1" thickBot="1">
      <c r="A23" s="215" t="s">
        <v>27</v>
      </c>
      <c r="B23" s="215"/>
      <c r="C23" s="22">
        <f t="shared" si="6"/>
        <v>547000</v>
      </c>
      <c r="D23" s="22">
        <f t="shared" si="6"/>
        <v>895607</v>
      </c>
      <c r="E23" s="12">
        <f t="shared" si="0"/>
        <v>1.637307129798903</v>
      </c>
      <c r="F23" s="22">
        <f t="shared" si="1"/>
        <v>348607</v>
      </c>
      <c r="G23" s="14">
        <f t="shared" si="7"/>
        <v>547000</v>
      </c>
      <c r="H23" s="27">
        <v>0</v>
      </c>
      <c r="I23" s="10">
        <v>1</v>
      </c>
      <c r="J23" s="21" t="str">
        <f t="shared" si="8"/>
        <v>Miscellaneous</v>
      </c>
      <c r="K23" s="167">
        <v>547000</v>
      </c>
      <c r="L23" s="167">
        <f>5116+780044+78058+32389</f>
        <v>895607</v>
      </c>
      <c r="M23" s="174">
        <f t="shared" si="2"/>
        <v>1.637307129798903</v>
      </c>
      <c r="N23" s="162">
        <v>463840</v>
      </c>
      <c r="O23" s="162">
        <f>705996+15633+11353</f>
        <v>732982</v>
      </c>
      <c r="P23" s="162">
        <f>735348+26986</f>
        <v>762334</v>
      </c>
      <c r="Q23" s="152">
        <f t="shared" si="9"/>
        <v>0.96149719151972757</v>
      </c>
      <c r="R23" s="117">
        <f>519135+45000</f>
        <v>564135</v>
      </c>
      <c r="S23" s="118">
        <v>621292.79</v>
      </c>
      <c r="T23" s="167">
        <f>574051+220348</f>
        <v>794399</v>
      </c>
      <c r="U23" s="152">
        <f t="shared" si="3"/>
        <v>0.7820916063590212</v>
      </c>
      <c r="V23" s="118">
        <f>'FY 2009 Rev 01-04-10'!E25+'FY 2009 Rev 01-04-10'!E29+'FY 2009 Rev 01-04-10'!E32</f>
        <v>499810</v>
      </c>
      <c r="W23" s="118">
        <f>SUM('FY 2009 Rev 01-04-10'!F25:Q25,'FY 2009 Rev 01-04-10'!F29:Q29,'FY 2009 Rev 01-04-10'!F32:Q32)</f>
        <v>831308.46</v>
      </c>
      <c r="X23" s="118">
        <f>797689+241752</f>
        <v>1039441</v>
      </c>
      <c r="Y23" s="152">
        <f t="shared" si="4"/>
        <v>0.79976493134290449</v>
      </c>
      <c r="Z23" s="118">
        <f>'FY 2008 Rev 01-04-10'!E25+'FY 2008 Rev 01-04-10'!E29+'FY 2008 Rev 01-04-10'!E32</f>
        <v>500000</v>
      </c>
      <c r="AA23" s="118">
        <f>SUM('FY 2008 Rev 01-04-10'!F25:Q25,'FY 2008 Rev 01-04-10'!F29:Q29,'FY 2008 Rev 01-04-10'!F32:Q32)</f>
        <v>2058982.75</v>
      </c>
      <c r="AB23" s="118">
        <f>'FY 2008 Rev 01-04-10'!D25+'FY 2008 Rev 01-04-10'!D29+'FY 2008 Rev 01-04-10'!D32</f>
        <v>2058982.75</v>
      </c>
      <c r="AC23" s="152">
        <f t="shared" si="5"/>
        <v>1</v>
      </c>
    </row>
    <row r="24" spans="1:29" ht="15.75" customHeight="1" thickBot="1">
      <c r="A24" s="216" t="s">
        <v>28</v>
      </c>
      <c r="B24" s="216"/>
      <c r="C24" s="11">
        <f>SUM(C17:C23)</f>
        <v>147794648</v>
      </c>
      <c r="D24" s="11">
        <f>SUM(D17:D23)</f>
        <v>150716913</v>
      </c>
      <c r="E24" s="12">
        <f t="shared" si="0"/>
        <v>1.019772468350816</v>
      </c>
      <c r="F24" s="17">
        <f>SUM(F17:F23)</f>
        <v>2922265</v>
      </c>
      <c r="G24" s="14">
        <f t="shared" si="7"/>
        <v>147794648</v>
      </c>
      <c r="H24" s="27"/>
      <c r="J24" s="21"/>
      <c r="K24" s="172">
        <f>SUM(K17:K23)</f>
        <v>147794648</v>
      </c>
      <c r="L24" s="172">
        <f>SUM(L17:L23)</f>
        <v>150716913</v>
      </c>
      <c r="M24" s="173">
        <f t="shared" si="2"/>
        <v>1.019772468350816</v>
      </c>
      <c r="N24" s="164">
        <f>SUM(N17:N23)</f>
        <v>152716319</v>
      </c>
      <c r="O24" s="164">
        <f>SUM(O17:O23)</f>
        <v>154429850</v>
      </c>
      <c r="P24" s="160">
        <f>SUM(P17:P23)</f>
        <v>155273133</v>
      </c>
      <c r="Q24" s="153">
        <f t="shared" si="9"/>
        <v>0.99456903468290292</v>
      </c>
      <c r="R24" s="116">
        <f>SUM(R17:R23)</f>
        <v>156957414</v>
      </c>
      <c r="S24" s="116">
        <f>SUM(S17:S23)</f>
        <v>152800728.23000002</v>
      </c>
      <c r="T24" s="116">
        <f>SUM(T17:T23)</f>
        <v>154207530</v>
      </c>
      <c r="U24" s="153">
        <f t="shared" si="3"/>
        <v>0.99087721740955204</v>
      </c>
      <c r="V24" s="116">
        <f>SUM(V17:V23)</f>
        <v>150487306</v>
      </c>
      <c r="W24" s="116">
        <f>SUM(W17:W23)</f>
        <v>145407515.52000001</v>
      </c>
      <c r="X24" s="116">
        <f>SUM(X17:X23)</f>
        <v>146596733.25999999</v>
      </c>
      <c r="Y24" s="153">
        <f t="shared" si="4"/>
        <v>0.99188782919268181</v>
      </c>
      <c r="Z24" s="116">
        <f>SUM(Z17:Z23)</f>
        <v>136743194</v>
      </c>
      <c r="AA24" s="116">
        <f>SUM(AA17:AA23)</f>
        <v>148636236.79000002</v>
      </c>
      <c r="AB24" s="116">
        <f>SUM(AB17:AB23)</f>
        <v>148636236.78999999</v>
      </c>
      <c r="AC24" s="153">
        <f t="shared" si="5"/>
        <v>1.0000000000000002</v>
      </c>
    </row>
    <row r="25" spans="1:29" ht="22.5" customHeight="1" thickTop="1">
      <c r="J25" s="21"/>
      <c r="K25" s="26"/>
    </row>
    <row r="26" spans="1:29">
      <c r="J26" s="21"/>
      <c r="K26" s="26"/>
    </row>
    <row r="31" spans="1:29">
      <c r="H31" s="15"/>
    </row>
    <row r="32" spans="1:29">
      <c r="H32" s="14"/>
    </row>
    <row r="40" spans="1:34">
      <c r="J40" s="135"/>
      <c r="K40" s="135"/>
    </row>
    <row r="41" spans="1:34">
      <c r="J41" s="135"/>
      <c r="K41" s="135"/>
    </row>
    <row r="42" spans="1:34">
      <c r="J42" s="135"/>
      <c r="K42" s="135"/>
    </row>
    <row r="43" spans="1:34">
      <c r="J43" s="135"/>
      <c r="K43" s="135"/>
    </row>
    <row r="44" spans="1:34">
      <c r="J44" s="135"/>
      <c r="K44" s="135"/>
    </row>
    <row r="45" spans="1:34">
      <c r="J45" s="135"/>
      <c r="K45" s="135"/>
    </row>
    <row r="46" spans="1:34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4" ht="12" customHeight="1">
      <c r="B47" s="18"/>
      <c r="C47" s="18"/>
      <c r="D47" s="18"/>
      <c r="E47" s="18"/>
      <c r="J47" s="135"/>
      <c r="K47" s="135"/>
    </row>
    <row r="48" spans="1:34" ht="36" customHeight="1">
      <c r="A48" s="217"/>
      <c r="B48" s="217"/>
      <c r="C48" s="19" t="s">
        <v>183</v>
      </c>
      <c r="D48" s="19" t="s">
        <v>211</v>
      </c>
      <c r="E48" s="19" t="s">
        <v>25</v>
      </c>
      <c r="F48" s="9" t="s">
        <v>210</v>
      </c>
      <c r="G48" s="10">
        <v>1</v>
      </c>
      <c r="H48" s="2" t="s">
        <v>45</v>
      </c>
      <c r="K48" s="154" t="s">
        <v>183</v>
      </c>
      <c r="L48" s="150" t="s">
        <v>214</v>
      </c>
      <c r="M48" s="151">
        <v>2012</v>
      </c>
      <c r="N48" s="150" t="s">
        <v>189</v>
      </c>
      <c r="O48" s="154" t="s">
        <v>143</v>
      </c>
      <c r="P48" s="150" t="s">
        <v>215</v>
      </c>
      <c r="Q48" s="151">
        <v>2011</v>
      </c>
      <c r="R48" s="150" t="s">
        <v>147</v>
      </c>
      <c r="S48" s="154" t="s">
        <v>99</v>
      </c>
      <c r="T48" s="150" t="s">
        <v>216</v>
      </c>
      <c r="U48" s="151">
        <v>2010</v>
      </c>
      <c r="V48" s="150" t="s">
        <v>116</v>
      </c>
      <c r="W48" s="150" t="s">
        <v>1</v>
      </c>
      <c r="X48" s="150" t="s">
        <v>135</v>
      </c>
      <c r="Y48" s="151">
        <v>2009</v>
      </c>
      <c r="Z48" s="150" t="s">
        <v>118</v>
      </c>
      <c r="AA48" s="150">
        <v>2009</v>
      </c>
      <c r="AB48" s="150" t="s">
        <v>119</v>
      </c>
      <c r="AC48" s="150" t="s">
        <v>111</v>
      </c>
      <c r="AD48" s="150" t="s">
        <v>217</v>
      </c>
      <c r="AE48" s="151">
        <v>2008</v>
      </c>
      <c r="AF48" s="150" t="s">
        <v>121</v>
      </c>
      <c r="AG48" s="150">
        <v>2008</v>
      </c>
      <c r="AH48" s="150" t="s">
        <v>122</v>
      </c>
    </row>
    <row r="49" spans="1:34" ht="15.75" customHeight="1">
      <c r="A49" s="218" t="s">
        <v>30</v>
      </c>
      <c r="B49" s="219"/>
      <c r="C49" s="11">
        <f>K49</f>
        <v>260248</v>
      </c>
      <c r="D49" s="11">
        <f>L49</f>
        <v>236867</v>
      </c>
      <c r="E49" s="12">
        <f t="shared" ref="E49:E60" si="10">(D49/C49)</f>
        <v>0.91015877163321135</v>
      </c>
      <c r="F49" s="11">
        <f>+G49-D49</f>
        <v>23381</v>
      </c>
      <c r="G49" s="23">
        <f>C49*1</f>
        <v>260248</v>
      </c>
      <c r="H49" s="24">
        <f t="shared" ref="H49:H57" si="11">C49-D49</f>
        <v>23381</v>
      </c>
      <c r="I49" s="1">
        <v>1</v>
      </c>
      <c r="J49" s="135" t="s">
        <v>30</v>
      </c>
      <c r="K49" s="13">
        <v>260248</v>
      </c>
      <c r="L49" s="13">
        <v>236867</v>
      </c>
      <c r="M49" s="155">
        <f t="shared" ref="M49:M60" si="12">(L49/K49)</f>
        <v>0.91015877163321135</v>
      </c>
      <c r="N49" s="13">
        <f>K49-L49</f>
        <v>23381</v>
      </c>
      <c r="O49" s="13">
        <v>315395</v>
      </c>
      <c r="P49" s="13">
        <v>270030</v>
      </c>
      <c r="Q49" s="155">
        <f t="shared" ref="Q49:Q60" si="13">(P49/O49)</f>
        <v>0.85616449214477086</v>
      </c>
      <c r="R49" s="13">
        <f>O49-P49</f>
        <v>45365</v>
      </c>
      <c r="S49" s="13">
        <v>302496</v>
      </c>
      <c r="T49" s="13">
        <v>268555.12</v>
      </c>
      <c r="U49" s="155">
        <f t="shared" ref="U49:U60" si="14">(T49/S49)</f>
        <v>0.88779726012905957</v>
      </c>
      <c r="V49" s="13">
        <f>S49-T49</f>
        <v>33940.880000000005</v>
      </c>
      <c r="W49" s="13">
        <f>'FY 2009 Exp 01-06-10'!C2</f>
        <v>307595</v>
      </c>
      <c r="X49" s="13">
        <f>SUM('FY 2009 Exp 01-06-10'!F2:Q2)</f>
        <v>277827.39</v>
      </c>
      <c r="Y49" s="155">
        <f>X49/W49</f>
        <v>0.9032246622994522</v>
      </c>
      <c r="Z49" s="13">
        <f>'FY 2009 Exp 01-06-10'!D2</f>
        <v>307595</v>
      </c>
      <c r="AA49" s="155">
        <f>X49/Z49</f>
        <v>0.9032246622994522</v>
      </c>
      <c r="AB49" s="13">
        <f>W49-X49</f>
        <v>29767.609999999986</v>
      </c>
      <c r="AC49" s="13">
        <f>'FY 2008 Exp 01-06-10'!C2</f>
        <v>326242</v>
      </c>
      <c r="AD49" s="13">
        <f>SUM('FY 2008 Exp 01-06-10'!F2:Q2)</f>
        <v>298044.79999999999</v>
      </c>
      <c r="AE49" s="155">
        <f>AD49/AC49</f>
        <v>0.91356968140214934</v>
      </c>
      <c r="AF49" s="13">
        <f>'FY 2008 Exp 01-06-10'!D2</f>
        <v>326266</v>
      </c>
      <c r="AG49" s="155">
        <f>AD49/AF49</f>
        <v>0.91350247957188302</v>
      </c>
      <c r="AH49" s="13">
        <f>AC49-AD49</f>
        <v>28197.200000000012</v>
      </c>
    </row>
    <row r="50" spans="1:34" ht="15.75" customHeight="1">
      <c r="A50" s="218" t="s">
        <v>123</v>
      </c>
      <c r="B50" s="219"/>
      <c r="C50" s="22">
        <f t="shared" ref="C50:D59" si="15">K50</f>
        <v>376370</v>
      </c>
      <c r="D50" s="22">
        <f t="shared" si="15"/>
        <v>365557</v>
      </c>
      <c r="E50" s="12">
        <f t="shared" si="10"/>
        <v>0.97127029253128572</v>
      </c>
      <c r="F50" s="22">
        <f t="shared" ref="F50:F60" si="16">+G50-D50</f>
        <v>10813</v>
      </c>
      <c r="G50" s="23">
        <f t="shared" ref="G50:G60" si="17">C50*1</f>
        <v>376370</v>
      </c>
      <c r="H50" s="25">
        <f t="shared" si="11"/>
        <v>10813</v>
      </c>
      <c r="I50" s="1">
        <v>1</v>
      </c>
      <c r="J50" s="135" t="s">
        <v>123</v>
      </c>
      <c r="K50" s="156">
        <v>376370</v>
      </c>
      <c r="L50" s="156">
        <v>365557</v>
      </c>
      <c r="M50" s="155">
        <f t="shared" si="12"/>
        <v>0.97127029253128572</v>
      </c>
      <c r="N50" s="156">
        <f t="shared" ref="N50:N59" si="18">K50-L50</f>
        <v>10813</v>
      </c>
      <c r="O50" s="156">
        <v>376370</v>
      </c>
      <c r="P50" s="156">
        <v>367440</v>
      </c>
      <c r="Q50" s="155">
        <f t="shared" si="13"/>
        <v>0.97627334803517818</v>
      </c>
      <c r="R50" s="156">
        <f t="shared" ref="R50:R59" si="19">O50-P50</f>
        <v>8930</v>
      </c>
      <c r="S50" s="156">
        <v>411370</v>
      </c>
      <c r="T50" s="156">
        <v>423925.69</v>
      </c>
      <c r="U50" s="155">
        <f t="shared" si="14"/>
        <v>1.0305216471789387</v>
      </c>
      <c r="V50" s="156">
        <f t="shared" ref="V50:V59" si="20">S50-T50</f>
        <v>-12555.690000000002</v>
      </c>
      <c r="W50" s="156">
        <f>'FY 2009 Exp 01-06-10'!C3</f>
        <v>510370</v>
      </c>
      <c r="X50" s="156">
        <f>SUM('FY 2009 Exp 01-06-10'!F3:Q3)</f>
        <v>496194.61</v>
      </c>
      <c r="Y50" s="155">
        <f t="shared" ref="Y50:Y60" si="21">X50/W50</f>
        <v>0.9722252679428649</v>
      </c>
      <c r="Z50" s="156">
        <f>'FY 2009 Exp 01-06-10'!D3</f>
        <v>575162</v>
      </c>
      <c r="AA50" s="155">
        <f t="shared" ref="AA50:AA60" si="22">X50/Z50</f>
        <v>0.86270409032585604</v>
      </c>
      <c r="AB50" s="13">
        <f t="shared" ref="AB50:AB59" si="23">W50-X50</f>
        <v>14175.390000000014</v>
      </c>
      <c r="AC50" s="156">
        <f>'FY 2008 Exp 01-06-10'!C3</f>
        <v>461110</v>
      </c>
      <c r="AD50" s="156">
        <f>SUM('FY 2008 Exp 01-06-10'!F3:Q3)</f>
        <v>427877.16000000003</v>
      </c>
      <c r="AE50" s="155">
        <f t="shared" ref="AE50:AE60" si="24">AD50/AC50</f>
        <v>0.92792860705688451</v>
      </c>
      <c r="AF50" s="156">
        <f>'FY 2008 Exp 01-06-10'!D3</f>
        <v>497765</v>
      </c>
      <c r="AG50" s="155">
        <f t="shared" ref="AG50:AG60" si="25">AD50/AF50</f>
        <v>0.85959671732644927</v>
      </c>
      <c r="AH50" s="13">
        <f t="shared" ref="AH50:AH59" si="26">AC50-AD50</f>
        <v>33232.839999999967</v>
      </c>
    </row>
    <row r="51" spans="1:34" ht="15.75" customHeight="1">
      <c r="A51" s="218" t="s">
        <v>31</v>
      </c>
      <c r="B51" s="219"/>
      <c r="C51" s="22">
        <f t="shared" si="15"/>
        <v>3539581</v>
      </c>
      <c r="D51" s="22">
        <f t="shared" si="15"/>
        <v>2684971</v>
      </c>
      <c r="E51" s="12">
        <f t="shared" si="10"/>
        <v>0.75855616808882176</v>
      </c>
      <c r="F51" s="22">
        <f t="shared" si="16"/>
        <v>854610</v>
      </c>
      <c r="G51" s="23">
        <f t="shared" si="17"/>
        <v>3539581</v>
      </c>
      <c r="H51" s="25">
        <f t="shared" si="11"/>
        <v>854610</v>
      </c>
      <c r="I51" s="1">
        <v>1</v>
      </c>
      <c r="J51" s="135" t="s">
        <v>31</v>
      </c>
      <c r="K51" s="156">
        <v>3539581</v>
      </c>
      <c r="L51" s="156">
        <v>2684971</v>
      </c>
      <c r="M51" s="155">
        <f t="shared" si="12"/>
        <v>0.75855616808882176</v>
      </c>
      <c r="N51" s="156">
        <f t="shared" si="18"/>
        <v>854610</v>
      </c>
      <c r="O51" s="156">
        <v>2892101</v>
      </c>
      <c r="P51" s="156">
        <v>2538909</v>
      </c>
      <c r="Q51" s="155">
        <f t="shared" si="13"/>
        <v>0.87787701743473001</v>
      </c>
      <c r="R51" s="156">
        <f t="shared" si="19"/>
        <v>353192</v>
      </c>
      <c r="S51" s="156">
        <v>3263326</v>
      </c>
      <c r="T51" s="156">
        <v>2686839.94</v>
      </c>
      <c r="U51" s="155">
        <f t="shared" si="14"/>
        <v>0.82334401772915111</v>
      </c>
      <c r="V51" s="156">
        <f t="shared" si="20"/>
        <v>576486.06000000006</v>
      </c>
      <c r="W51" s="156">
        <f>'FY 2009 Exp 01-06-10'!C5</f>
        <v>3360551</v>
      </c>
      <c r="X51" s="156">
        <f>SUM('FY 2009 Exp 01-06-10'!F5:Q5)</f>
        <v>2685580.69</v>
      </c>
      <c r="Y51" s="155">
        <f t="shared" si="21"/>
        <v>0.79914891635330043</v>
      </c>
      <c r="Z51" s="156">
        <f>'FY 2009 Exp 01-06-10'!D5</f>
        <v>3258569</v>
      </c>
      <c r="AA51" s="155">
        <f t="shared" si="22"/>
        <v>0.82415952830828498</v>
      </c>
      <c r="AB51" s="13">
        <f t="shared" si="23"/>
        <v>674970.31</v>
      </c>
      <c r="AC51" s="156">
        <f>'FY 2008 Exp 01-06-10'!C5</f>
        <v>2433415</v>
      </c>
      <c r="AD51" s="156">
        <f>SUM('FY 2008 Exp 01-06-10'!F5:Q5)</f>
        <v>2877875.92</v>
      </c>
      <c r="AE51" s="155">
        <f t="shared" si="24"/>
        <v>1.1826490426006251</v>
      </c>
      <c r="AF51" s="156">
        <f>'FY 2008 Exp 01-06-10'!D5</f>
        <v>3116351</v>
      </c>
      <c r="AG51" s="155">
        <f t="shared" si="25"/>
        <v>0.92347618095650974</v>
      </c>
      <c r="AH51" s="13">
        <f t="shared" si="26"/>
        <v>-444460.91999999993</v>
      </c>
    </row>
    <row r="52" spans="1:34" ht="15.75" customHeight="1">
      <c r="A52" s="218" t="s">
        <v>15</v>
      </c>
      <c r="B52" s="219"/>
      <c r="C52" s="22">
        <f t="shared" si="15"/>
        <v>10245180</v>
      </c>
      <c r="D52" s="22">
        <f t="shared" si="15"/>
        <v>9524685</v>
      </c>
      <c r="E52" s="12">
        <f t="shared" si="10"/>
        <v>0.929674734850925</v>
      </c>
      <c r="F52" s="22">
        <f t="shared" si="16"/>
        <v>720495</v>
      </c>
      <c r="G52" s="23">
        <f t="shared" si="17"/>
        <v>10245180</v>
      </c>
      <c r="H52" s="25">
        <f t="shared" si="11"/>
        <v>720495</v>
      </c>
      <c r="I52" s="1">
        <v>1</v>
      </c>
      <c r="J52" s="135" t="s">
        <v>15</v>
      </c>
      <c r="K52" s="156">
        <v>10245180</v>
      </c>
      <c r="L52" s="156">
        <v>9524685</v>
      </c>
      <c r="M52" s="155">
        <f t="shared" si="12"/>
        <v>0.929674734850925</v>
      </c>
      <c r="N52" s="156">
        <f t="shared" si="18"/>
        <v>720495</v>
      </c>
      <c r="O52" s="156">
        <v>10586321</v>
      </c>
      <c r="P52" s="156">
        <v>9806126</v>
      </c>
      <c r="Q52" s="155">
        <f t="shared" si="13"/>
        <v>0.92630159240400889</v>
      </c>
      <c r="R52" s="156">
        <f t="shared" si="19"/>
        <v>780195</v>
      </c>
      <c r="S52" s="156">
        <v>10604579</v>
      </c>
      <c r="T52" s="156">
        <v>9887771.1099999994</v>
      </c>
      <c r="U52" s="155">
        <f t="shared" si="14"/>
        <v>0.93240581356412167</v>
      </c>
      <c r="V52" s="156">
        <f t="shared" si="20"/>
        <v>716807.8900000006</v>
      </c>
      <c r="W52" s="156">
        <f>'FY 2009 Exp 01-06-10'!C6</f>
        <v>10906229</v>
      </c>
      <c r="X52" s="156">
        <f>SUM('FY 2009 Exp 01-06-10'!F6:Q6)</f>
        <v>10149261.580000002</v>
      </c>
      <c r="Y52" s="155">
        <f t="shared" si="21"/>
        <v>0.93059311151453006</v>
      </c>
      <c r="Z52" s="156">
        <f>'FY 2009 Exp 01-06-10'!D6</f>
        <v>11732575</v>
      </c>
      <c r="AA52" s="155">
        <f t="shared" si="22"/>
        <v>0.86504979341704624</v>
      </c>
      <c r="AB52" s="13">
        <f t="shared" si="23"/>
        <v>756967.41999999806</v>
      </c>
      <c r="AC52" s="156">
        <f>'FY 2008 Exp 01-06-10'!C6</f>
        <v>9925189</v>
      </c>
      <c r="AD52" s="156">
        <f>SUM('FY 2008 Exp 01-06-10'!F6:Q6)</f>
        <v>9715645.6400000006</v>
      </c>
      <c r="AE52" s="155">
        <f t="shared" si="24"/>
        <v>0.9788877209290423</v>
      </c>
      <c r="AF52" s="156">
        <f>'FY 2008 Exp 01-06-10'!D6</f>
        <v>10190881</v>
      </c>
      <c r="AG52" s="155">
        <f t="shared" si="25"/>
        <v>0.95336660687137853</v>
      </c>
      <c r="AH52" s="13">
        <f t="shared" si="26"/>
        <v>209543.3599999994</v>
      </c>
    </row>
    <row r="53" spans="1:34" ht="15.75" customHeight="1">
      <c r="A53" s="218" t="s">
        <v>14</v>
      </c>
      <c r="B53" s="219"/>
      <c r="C53" s="22">
        <f t="shared" si="15"/>
        <v>31030208</v>
      </c>
      <c r="D53" s="22">
        <f t="shared" si="15"/>
        <v>24198198</v>
      </c>
      <c r="E53" s="12">
        <f t="shared" si="10"/>
        <v>0.77982712845495594</v>
      </c>
      <c r="F53" s="22">
        <f t="shared" si="16"/>
        <v>6832010</v>
      </c>
      <c r="G53" s="23">
        <f t="shared" si="17"/>
        <v>31030208</v>
      </c>
      <c r="H53" s="25">
        <f t="shared" si="11"/>
        <v>6832010</v>
      </c>
      <c r="I53" s="1">
        <v>1</v>
      </c>
      <c r="J53" s="135" t="s">
        <v>151</v>
      </c>
      <c r="K53" s="156">
        <v>31030208</v>
      </c>
      <c r="L53" s="156">
        <v>24198198</v>
      </c>
      <c r="M53" s="155">
        <f t="shared" si="12"/>
        <v>0.77982712845495594</v>
      </c>
      <c r="N53" s="156">
        <f t="shared" si="18"/>
        <v>6832010</v>
      </c>
      <c r="O53" s="156">
        <v>36594199</v>
      </c>
      <c r="P53" s="156">
        <v>63223505</v>
      </c>
      <c r="Q53" s="155">
        <f t="shared" si="13"/>
        <v>1.727692003861049</v>
      </c>
      <c r="R53" s="156">
        <f t="shared" si="19"/>
        <v>-26629306</v>
      </c>
      <c r="S53" s="156">
        <v>36033186</v>
      </c>
      <c r="T53" s="156">
        <v>28645456.449999999</v>
      </c>
      <c r="U53" s="155">
        <f t="shared" si="14"/>
        <v>0.79497428981161977</v>
      </c>
      <c r="V53" s="156">
        <f t="shared" si="20"/>
        <v>7387729.5500000007</v>
      </c>
      <c r="W53" s="156">
        <f>'FY 2009 Exp 01-06-10'!C7</f>
        <v>34955768</v>
      </c>
      <c r="X53" s="156">
        <f>SUM('FY 2009 Exp 01-06-10'!F7:Q7)</f>
        <v>23074337.329999998</v>
      </c>
      <c r="Y53" s="155">
        <f t="shared" si="21"/>
        <v>0.66010099763792907</v>
      </c>
      <c r="Z53" s="156">
        <f>'FY 2009 Exp 01-06-10'!D7</f>
        <v>31765451</v>
      </c>
      <c r="AA53" s="155">
        <f t="shared" si="22"/>
        <v>0.72639728395482239</v>
      </c>
      <c r="AB53" s="13">
        <f t="shared" si="23"/>
        <v>11881430.670000002</v>
      </c>
      <c r="AC53" s="156">
        <f>'FY 2008 Exp 01-06-10'!C7</f>
        <v>33931130</v>
      </c>
      <c r="AD53" s="156">
        <f>SUM('FY 2008 Exp 01-06-10'!F7:Q7)</f>
        <v>21719459.130000003</v>
      </c>
      <c r="AE53" s="155">
        <f t="shared" si="24"/>
        <v>0.64010420902575316</v>
      </c>
      <c r="AF53" s="156">
        <f>'FY 2008 Exp 01-06-10'!D7</f>
        <v>30400731</v>
      </c>
      <c r="AG53" s="155">
        <f t="shared" si="25"/>
        <v>0.71443871300331574</v>
      </c>
      <c r="AH53" s="13">
        <f t="shared" si="26"/>
        <v>12211670.869999997</v>
      </c>
    </row>
    <row r="54" spans="1:34" ht="15.75" customHeight="1">
      <c r="A54" s="218" t="s">
        <v>124</v>
      </c>
      <c r="B54" s="219"/>
      <c r="C54" s="22">
        <f t="shared" si="15"/>
        <v>11756112</v>
      </c>
      <c r="D54" s="22">
        <f t="shared" si="15"/>
        <v>10832313</v>
      </c>
      <c r="E54" s="12">
        <f t="shared" si="10"/>
        <v>0.92141968365051308</v>
      </c>
      <c r="F54" s="22">
        <f t="shared" si="16"/>
        <v>923799</v>
      </c>
      <c r="G54" s="23">
        <f t="shared" si="17"/>
        <v>11756112</v>
      </c>
      <c r="H54" s="25">
        <f t="shared" si="11"/>
        <v>923799</v>
      </c>
      <c r="I54" s="1">
        <v>1</v>
      </c>
      <c r="J54" s="135" t="s">
        <v>124</v>
      </c>
      <c r="K54" s="156">
        <v>11756112</v>
      </c>
      <c r="L54" s="156">
        <v>10832313</v>
      </c>
      <c r="M54" s="155">
        <f t="shared" si="12"/>
        <v>0.92141968365051308</v>
      </c>
      <c r="N54" s="156">
        <f t="shared" si="18"/>
        <v>923799</v>
      </c>
      <c r="O54" s="156">
        <v>12350821</v>
      </c>
      <c r="P54" s="156">
        <v>11267992</v>
      </c>
      <c r="Q54" s="155">
        <f t="shared" si="13"/>
        <v>0.91232736673942572</v>
      </c>
      <c r="R54" s="156">
        <f t="shared" si="19"/>
        <v>1082829</v>
      </c>
      <c r="S54" s="156">
        <v>11603014</v>
      </c>
      <c r="T54" s="156">
        <v>10842673.359999999</v>
      </c>
      <c r="U54" s="155">
        <f t="shared" si="14"/>
        <v>0.93447041949617571</v>
      </c>
      <c r="V54" s="156">
        <f t="shared" si="20"/>
        <v>760340.6400000006</v>
      </c>
      <c r="W54" s="156">
        <f>'FY 2009 Exp 01-06-10'!C8</f>
        <v>11138553</v>
      </c>
      <c r="X54" s="156">
        <f>SUM('FY 2009 Exp 01-06-10'!F8:Q8)</f>
        <v>10943624.65</v>
      </c>
      <c r="Y54" s="155">
        <f t="shared" si="21"/>
        <v>0.98249967028930962</v>
      </c>
      <c r="Z54" s="156">
        <f>'FY 2009 Exp 01-06-10'!D8</f>
        <v>12178567</v>
      </c>
      <c r="AA54" s="155">
        <f t="shared" si="22"/>
        <v>0.89859707221711715</v>
      </c>
      <c r="AB54" s="13">
        <f t="shared" si="23"/>
        <v>194928.34999999963</v>
      </c>
      <c r="AC54" s="156">
        <f>'FY 2008 Exp 01-06-10'!C8</f>
        <v>10691922</v>
      </c>
      <c r="AD54" s="156">
        <f>SUM('FY 2008 Exp 01-06-10'!F8:Q8)</f>
        <v>11228455.450000001</v>
      </c>
      <c r="AE54" s="155">
        <f t="shared" si="24"/>
        <v>1.0501811975433417</v>
      </c>
      <c r="AF54" s="156">
        <f>'FY 2008 Exp 01-06-10'!D8</f>
        <v>11576518</v>
      </c>
      <c r="AG54" s="155">
        <f t="shared" si="25"/>
        <v>0.96993374432623014</v>
      </c>
      <c r="AH54" s="13">
        <f t="shared" si="26"/>
        <v>-536533.45000000112</v>
      </c>
    </row>
    <row r="55" spans="1:34" ht="15.75" customHeight="1">
      <c r="A55" s="218" t="s">
        <v>32</v>
      </c>
      <c r="B55" s="219"/>
      <c r="C55" s="22">
        <f t="shared" si="15"/>
        <v>14379926</v>
      </c>
      <c r="D55" s="22">
        <f t="shared" si="15"/>
        <v>13477887</v>
      </c>
      <c r="E55" s="12">
        <f t="shared" si="10"/>
        <v>0.93727095674901251</v>
      </c>
      <c r="F55" s="22">
        <f t="shared" si="16"/>
        <v>902039</v>
      </c>
      <c r="G55" s="23">
        <f t="shared" si="17"/>
        <v>14379926</v>
      </c>
      <c r="H55" s="25">
        <f t="shared" si="11"/>
        <v>902039</v>
      </c>
      <c r="I55" s="1">
        <v>1</v>
      </c>
      <c r="J55" s="135" t="s">
        <v>32</v>
      </c>
      <c r="K55" s="156">
        <v>14379926</v>
      </c>
      <c r="L55" s="156">
        <v>13477887</v>
      </c>
      <c r="M55" s="155">
        <f t="shared" si="12"/>
        <v>0.93727095674901251</v>
      </c>
      <c r="N55" s="156">
        <f t="shared" si="18"/>
        <v>902039</v>
      </c>
      <c r="O55" s="156">
        <v>14589387</v>
      </c>
      <c r="P55" s="156">
        <v>13801449</v>
      </c>
      <c r="Q55" s="155">
        <f t="shared" si="13"/>
        <v>0.94599238473830327</v>
      </c>
      <c r="R55" s="156">
        <f t="shared" si="19"/>
        <v>787938</v>
      </c>
      <c r="S55" s="156">
        <v>14742575</v>
      </c>
      <c r="T55" s="156">
        <v>13640147.98</v>
      </c>
      <c r="U55" s="155">
        <f t="shared" si="14"/>
        <v>0.92522154236963361</v>
      </c>
      <c r="V55" s="156">
        <f t="shared" si="20"/>
        <v>1102427.0199999996</v>
      </c>
      <c r="W55" s="156">
        <f>'FY 2009 Exp 01-06-10'!C9</f>
        <v>14546174</v>
      </c>
      <c r="X55" s="156">
        <f>SUM('FY 2009 Exp 01-06-10'!F9:Q9)</f>
        <v>13457052.160000002</v>
      </c>
      <c r="Y55" s="155">
        <f t="shared" si="21"/>
        <v>0.92512657692668887</v>
      </c>
      <c r="Z55" s="156">
        <f>'FY 2009 Exp 01-06-10'!D9</f>
        <v>14631394</v>
      </c>
      <c r="AA55" s="155">
        <f t="shared" si="22"/>
        <v>0.91973821223049579</v>
      </c>
      <c r="AB55" s="13">
        <f t="shared" si="23"/>
        <v>1089121.839999998</v>
      </c>
      <c r="AC55" s="156">
        <f>'FY 2008 Exp 01-06-10'!C9</f>
        <v>13877308</v>
      </c>
      <c r="AD55" s="156">
        <f>SUM('FY 2008 Exp 01-06-10'!F9:Q9)</f>
        <v>13713384.859999999</v>
      </c>
      <c r="AE55" s="155">
        <f t="shared" si="24"/>
        <v>0.98818768452786376</v>
      </c>
      <c r="AF55" s="156">
        <f>'FY 2008 Exp 01-06-10'!D9</f>
        <v>14249804</v>
      </c>
      <c r="AG55" s="155">
        <f t="shared" si="25"/>
        <v>0.96235603380930712</v>
      </c>
      <c r="AH55" s="13">
        <f t="shared" si="26"/>
        <v>163923.1400000006</v>
      </c>
    </row>
    <row r="56" spans="1:34" ht="15.75" customHeight="1">
      <c r="A56" s="218" t="s">
        <v>33</v>
      </c>
      <c r="B56" s="219"/>
      <c r="C56" s="22">
        <f t="shared" si="15"/>
        <v>10468040</v>
      </c>
      <c r="D56" s="22">
        <f t="shared" si="15"/>
        <v>9647331</v>
      </c>
      <c r="E56" s="12">
        <f t="shared" si="10"/>
        <v>0.92159859916469555</v>
      </c>
      <c r="F56" s="22">
        <f t="shared" si="16"/>
        <v>820709</v>
      </c>
      <c r="G56" s="23">
        <f t="shared" si="17"/>
        <v>10468040</v>
      </c>
      <c r="H56" s="25">
        <f t="shared" si="11"/>
        <v>820709</v>
      </c>
      <c r="I56" s="1">
        <v>1</v>
      </c>
      <c r="J56" s="135" t="s">
        <v>33</v>
      </c>
      <c r="K56" s="156">
        <v>10468040</v>
      </c>
      <c r="L56" s="156">
        <v>9647331</v>
      </c>
      <c r="M56" s="155">
        <f t="shared" si="12"/>
        <v>0.92159859916469555</v>
      </c>
      <c r="N56" s="156">
        <f t="shared" si="18"/>
        <v>820709</v>
      </c>
      <c r="O56" s="156">
        <v>10895570</v>
      </c>
      <c r="P56" s="156">
        <v>10121700</v>
      </c>
      <c r="Q56" s="155">
        <f t="shared" si="13"/>
        <v>0.92897388571685557</v>
      </c>
      <c r="R56" s="156">
        <f t="shared" si="19"/>
        <v>773870</v>
      </c>
      <c r="S56" s="156">
        <v>10775827</v>
      </c>
      <c r="T56" s="156">
        <v>10309398.390000001</v>
      </c>
      <c r="U56" s="155">
        <f t="shared" si="14"/>
        <v>0.95671528412622076</v>
      </c>
      <c r="V56" s="156">
        <f t="shared" si="20"/>
        <v>466428.6099999994</v>
      </c>
      <c r="W56" s="156">
        <f>'FY 2009 Exp 01-06-10'!C10</f>
        <v>10460745</v>
      </c>
      <c r="X56" s="156">
        <f>SUM('FY 2009 Exp 01-06-10'!F10:Q10)</f>
        <v>10012646.199999999</v>
      </c>
      <c r="Y56" s="155">
        <f t="shared" si="21"/>
        <v>0.95716377753209736</v>
      </c>
      <c r="Z56" s="156">
        <f>'FY 2009 Exp 01-06-10'!D10</f>
        <v>10518776</v>
      </c>
      <c r="AA56" s="155">
        <f t="shared" si="22"/>
        <v>0.95188320390129033</v>
      </c>
      <c r="AB56" s="13">
        <f t="shared" si="23"/>
        <v>448098.80000000075</v>
      </c>
      <c r="AC56" s="156">
        <f>'FY 2008 Exp 01-06-10'!C10</f>
        <v>10121330</v>
      </c>
      <c r="AD56" s="156">
        <f>SUM('FY 2008 Exp 01-06-10'!F10:Q10)</f>
        <v>9879428.4400000013</v>
      </c>
      <c r="AE56" s="155">
        <f t="shared" si="24"/>
        <v>0.97609982482539359</v>
      </c>
      <c r="AF56" s="156">
        <f>'FY 2008 Exp 01-06-10'!D10</f>
        <v>10185578</v>
      </c>
      <c r="AG56" s="155">
        <f t="shared" si="25"/>
        <v>0.96994283878637044</v>
      </c>
      <c r="AH56" s="13">
        <f t="shared" si="26"/>
        <v>241901.55999999866</v>
      </c>
    </row>
    <row r="57" spans="1:34" ht="15.75" customHeight="1">
      <c r="A57" s="218" t="s">
        <v>34</v>
      </c>
      <c r="B57" s="219"/>
      <c r="C57" s="22">
        <f t="shared" si="15"/>
        <v>10353415</v>
      </c>
      <c r="D57" s="22">
        <f t="shared" si="15"/>
        <v>9900940</v>
      </c>
      <c r="E57" s="12">
        <f t="shared" si="10"/>
        <v>0.95629702856497112</v>
      </c>
      <c r="F57" s="22">
        <f t="shared" si="16"/>
        <v>452475</v>
      </c>
      <c r="G57" s="23">
        <f t="shared" si="17"/>
        <v>10353415</v>
      </c>
      <c r="H57" s="25">
        <f t="shared" si="11"/>
        <v>452475</v>
      </c>
      <c r="I57" s="1">
        <v>1</v>
      </c>
      <c r="J57" s="135" t="s">
        <v>34</v>
      </c>
      <c r="K57" s="156">
        <v>10353415</v>
      </c>
      <c r="L57" s="156">
        <v>9900940</v>
      </c>
      <c r="M57" s="155">
        <f t="shared" si="12"/>
        <v>0.95629702856497112</v>
      </c>
      <c r="N57" s="156">
        <f t="shared" si="18"/>
        <v>452475</v>
      </c>
      <c r="O57" s="156">
        <v>10218116</v>
      </c>
      <c r="P57" s="156">
        <v>9578543</v>
      </c>
      <c r="Q57" s="155">
        <f t="shared" si="13"/>
        <v>0.93740793312583259</v>
      </c>
      <c r="R57" s="156">
        <f t="shared" si="19"/>
        <v>639573</v>
      </c>
      <c r="S57" s="156">
        <v>10781064</v>
      </c>
      <c r="T57" s="156">
        <v>9270329</v>
      </c>
      <c r="U57" s="155">
        <f t="shared" si="14"/>
        <v>0.85987143755013418</v>
      </c>
      <c r="V57" s="156">
        <f t="shared" si="20"/>
        <v>1510735</v>
      </c>
      <c r="W57" s="156">
        <f>'FY 2009 Exp 01-06-10'!C11</f>
        <v>10829424</v>
      </c>
      <c r="X57" s="156">
        <f>SUM('FY 2009 Exp 01-06-10'!F11:Q11)</f>
        <v>9628056.3699999992</v>
      </c>
      <c r="Y57" s="155">
        <f t="shared" si="21"/>
        <v>0.88906449410421085</v>
      </c>
      <c r="Z57" s="156">
        <f>'FY 2009 Exp 01-06-10'!D11</f>
        <v>11207054</v>
      </c>
      <c r="AA57" s="155">
        <f t="shared" si="22"/>
        <v>0.85910680630253045</v>
      </c>
      <c r="AB57" s="13">
        <f t="shared" si="23"/>
        <v>1201367.6300000008</v>
      </c>
      <c r="AC57" s="156">
        <f>'FY 2008 Exp 01-06-10'!C11</f>
        <v>10503495</v>
      </c>
      <c r="AD57" s="156">
        <f>SUM('FY 2008 Exp 01-06-10'!F11:Q11)</f>
        <v>10422258.479999999</v>
      </c>
      <c r="AE57" s="155">
        <f t="shared" si="24"/>
        <v>0.99226576296746927</v>
      </c>
      <c r="AF57" s="156">
        <f>'FY 2008 Exp 01-06-10'!D11</f>
        <v>11177385</v>
      </c>
      <c r="AG57" s="155">
        <f t="shared" si="25"/>
        <v>0.93244157555635765</v>
      </c>
      <c r="AH57" s="13">
        <f t="shared" si="26"/>
        <v>81236.520000001416</v>
      </c>
    </row>
    <row r="58" spans="1:34" ht="15.75" customHeight="1">
      <c r="A58" s="218" t="s">
        <v>35</v>
      </c>
      <c r="B58" s="219"/>
      <c r="C58" s="22">
        <f t="shared" si="15"/>
        <v>45271679</v>
      </c>
      <c r="D58" s="22">
        <f t="shared" si="15"/>
        <v>42790470</v>
      </c>
      <c r="E58" s="12">
        <f t="shared" si="10"/>
        <v>0.9451929096775934</v>
      </c>
      <c r="F58" s="22">
        <f t="shared" si="16"/>
        <v>2481209</v>
      </c>
      <c r="G58" s="23">
        <f t="shared" si="17"/>
        <v>45271679</v>
      </c>
      <c r="H58" s="25">
        <f>C58-D58</f>
        <v>2481209</v>
      </c>
      <c r="I58" s="1">
        <v>1</v>
      </c>
      <c r="J58" s="135" t="s">
        <v>35</v>
      </c>
      <c r="K58" s="156">
        <v>45271679</v>
      </c>
      <c r="L58" s="156">
        <v>42790470</v>
      </c>
      <c r="M58" s="155">
        <f t="shared" si="12"/>
        <v>0.9451929096775934</v>
      </c>
      <c r="N58" s="156">
        <f t="shared" si="18"/>
        <v>2481209</v>
      </c>
      <c r="O58" s="156">
        <v>45505343</v>
      </c>
      <c r="P58" s="156">
        <v>44235446</v>
      </c>
      <c r="Q58" s="155">
        <f t="shared" si="13"/>
        <v>0.97209345285014115</v>
      </c>
      <c r="R58" s="156">
        <f t="shared" si="19"/>
        <v>1269897</v>
      </c>
      <c r="S58" s="156">
        <v>45971504</v>
      </c>
      <c r="T58" s="156">
        <v>44409312.299999997</v>
      </c>
      <c r="U58" s="155">
        <f t="shared" si="14"/>
        <v>0.96601825992031931</v>
      </c>
      <c r="V58" s="156">
        <f t="shared" si="20"/>
        <v>1562191.700000003</v>
      </c>
      <c r="W58" s="156">
        <f>'FY 2009 Exp 01-06-10'!C12</f>
        <v>44763416</v>
      </c>
      <c r="X58" s="156">
        <f>SUM('FY 2009 Exp 01-06-10'!F12:Q12)</f>
        <v>43699153.5</v>
      </c>
      <c r="Y58" s="155">
        <f t="shared" si="21"/>
        <v>0.97622472556607387</v>
      </c>
      <c r="Z58" s="156">
        <f>'FY 2009 Exp 01-06-10'!D12</f>
        <v>45148643</v>
      </c>
      <c r="AA58" s="155">
        <f t="shared" si="22"/>
        <v>0.96789517018263427</v>
      </c>
      <c r="AB58" s="13">
        <f t="shared" si="23"/>
        <v>1064262.5</v>
      </c>
      <c r="AC58" s="156">
        <f>'FY 2008 Exp 01-06-10'!C12</f>
        <v>44214975</v>
      </c>
      <c r="AD58" s="156">
        <f>SUM('FY 2008 Exp 01-06-10'!F12:Q12)</f>
        <v>43971445.670000002</v>
      </c>
      <c r="AE58" s="155">
        <f t="shared" si="24"/>
        <v>0.99449215271522828</v>
      </c>
      <c r="AF58" s="156">
        <f>'FY 2008 Exp 01-06-10'!D12</f>
        <v>44791732</v>
      </c>
      <c r="AG58" s="155">
        <f t="shared" si="25"/>
        <v>0.98168665748401962</v>
      </c>
      <c r="AH58" s="13">
        <f t="shared" si="26"/>
        <v>243529.32999999821</v>
      </c>
    </row>
    <row r="59" spans="1:34" ht="15.75" customHeight="1" thickBot="1">
      <c r="A59" s="218" t="s">
        <v>36</v>
      </c>
      <c r="B59" s="219"/>
      <c r="C59" s="22">
        <f t="shared" si="15"/>
        <v>9085000</v>
      </c>
      <c r="D59" s="22">
        <f t="shared" si="15"/>
        <v>9085000</v>
      </c>
      <c r="E59" s="12">
        <f t="shared" si="10"/>
        <v>1</v>
      </c>
      <c r="F59" s="22">
        <f t="shared" si="16"/>
        <v>0</v>
      </c>
      <c r="G59" s="23">
        <f t="shared" si="17"/>
        <v>9085000</v>
      </c>
      <c r="H59" s="25">
        <f>C59-D59</f>
        <v>0</v>
      </c>
      <c r="I59" s="1">
        <v>1</v>
      </c>
      <c r="J59" s="135" t="s">
        <v>36</v>
      </c>
      <c r="K59" s="158">
        <v>9085000</v>
      </c>
      <c r="L59" s="158">
        <v>9085000</v>
      </c>
      <c r="M59" s="152">
        <f t="shared" si="12"/>
        <v>1</v>
      </c>
      <c r="N59" s="158">
        <f t="shared" si="18"/>
        <v>0</v>
      </c>
      <c r="O59" s="158">
        <v>9355000</v>
      </c>
      <c r="P59" s="158">
        <v>9430590</v>
      </c>
      <c r="Q59" s="152">
        <f t="shared" si="13"/>
        <v>1.0080801710315339</v>
      </c>
      <c r="R59" s="158">
        <f t="shared" si="19"/>
        <v>-75590</v>
      </c>
      <c r="S59" s="158">
        <v>8370000</v>
      </c>
      <c r="T59" s="158">
        <v>8420000</v>
      </c>
      <c r="U59" s="152">
        <f t="shared" si="14"/>
        <v>1.005973715651135</v>
      </c>
      <c r="V59" s="158">
        <f t="shared" si="20"/>
        <v>-50000</v>
      </c>
      <c r="W59" s="158">
        <f>'FY 2009 Exp 01-06-10'!C14</f>
        <v>8707782</v>
      </c>
      <c r="X59" s="158">
        <f>SUM('FY 2009 Exp 01-06-10'!F14:Q14)</f>
        <v>9421491</v>
      </c>
      <c r="Y59" s="152">
        <f t="shared" si="21"/>
        <v>1.0819622034635226</v>
      </c>
      <c r="Z59" s="158">
        <f>'FY 2009 Exp 01-06-10'!D14</f>
        <v>13464262</v>
      </c>
      <c r="AA59" s="152">
        <f t="shared" si="22"/>
        <v>0.69974061704978707</v>
      </c>
      <c r="AB59" s="159">
        <f t="shared" si="23"/>
        <v>-713709</v>
      </c>
      <c r="AC59" s="158">
        <f>'FY 2008 Exp 01-06-10'!C14</f>
        <v>9046853</v>
      </c>
      <c r="AD59" s="158">
        <f>SUM('FY 2008 Exp 01-06-10'!F14:Q14)</f>
        <v>18086390</v>
      </c>
      <c r="AE59" s="152">
        <f t="shared" si="24"/>
        <v>1.9991913210041106</v>
      </c>
      <c r="AF59" s="158">
        <f>'FY 2008 Exp 01-06-10'!D14</f>
        <v>19089565</v>
      </c>
      <c r="AG59" s="152">
        <f t="shared" si="25"/>
        <v>0.94744903825728877</v>
      </c>
      <c r="AH59" s="159">
        <f t="shared" si="26"/>
        <v>-9039537</v>
      </c>
    </row>
    <row r="60" spans="1:34" ht="15.75" customHeight="1" thickBot="1">
      <c r="A60" s="220" t="s">
        <v>28</v>
      </c>
      <c r="B60" s="221"/>
      <c r="C60" s="20">
        <f>SUM(C49:C59)</f>
        <v>146765759</v>
      </c>
      <c r="D60" s="20">
        <f>SUM(D49:D59)</f>
        <v>132744219</v>
      </c>
      <c r="E60" s="12">
        <f t="shared" si="10"/>
        <v>0.9044631384354439</v>
      </c>
      <c r="F60" s="29">
        <f t="shared" si="16"/>
        <v>14021540</v>
      </c>
      <c r="G60" s="23">
        <f t="shared" si="17"/>
        <v>146765759</v>
      </c>
      <c r="J60" s="107"/>
      <c r="K60" s="157">
        <f>SUM(K49:K59)</f>
        <v>146765759</v>
      </c>
      <c r="L60" s="157">
        <f>SUM(L49:L59)</f>
        <v>132744219</v>
      </c>
      <c r="M60" s="153">
        <f t="shared" si="12"/>
        <v>0.9044631384354439</v>
      </c>
      <c r="N60" s="157">
        <f>SUM(N49:N59)</f>
        <v>14021540</v>
      </c>
      <c r="O60" s="157">
        <f>SUM(O49:O59)</f>
        <v>153678623</v>
      </c>
      <c r="P60" s="157">
        <f>SUM(P49:P59)</f>
        <v>174641730</v>
      </c>
      <c r="Q60" s="153">
        <f t="shared" si="13"/>
        <v>1.1364087378633005</v>
      </c>
      <c r="R60" s="157">
        <f>SUM(R49:R59)</f>
        <v>-20963107</v>
      </c>
      <c r="S60" s="157">
        <f>SUM(S49:S59)</f>
        <v>152858941</v>
      </c>
      <c r="T60" s="157">
        <f>SUM(T49:T59)</f>
        <v>138804409.34</v>
      </c>
      <c r="U60" s="153">
        <f t="shared" si="14"/>
        <v>0.90805554736899563</v>
      </c>
      <c r="V60" s="157">
        <f>SUM(V49:V59)</f>
        <v>14054531.660000004</v>
      </c>
      <c r="W60" s="157">
        <f t="shared" ref="W60:AH60" si="27">SUM(W49:W59)</f>
        <v>150486607</v>
      </c>
      <c r="X60" s="157">
        <f t="shared" si="27"/>
        <v>133845225.48</v>
      </c>
      <c r="Y60" s="153">
        <f t="shared" si="21"/>
        <v>0.88941619555552875</v>
      </c>
      <c r="Z60" s="157">
        <f t="shared" si="27"/>
        <v>154788048</v>
      </c>
      <c r="AA60" s="153">
        <f t="shared" si="22"/>
        <v>0.86470000241879141</v>
      </c>
      <c r="AB60" s="157">
        <f t="shared" si="27"/>
        <v>16641381.52</v>
      </c>
      <c r="AC60" s="157">
        <f t="shared" si="27"/>
        <v>145532969</v>
      </c>
      <c r="AD60" s="157">
        <f t="shared" si="27"/>
        <v>142340265.55000001</v>
      </c>
      <c r="AE60" s="153">
        <f t="shared" si="24"/>
        <v>0.97806199191882093</v>
      </c>
      <c r="AF60" s="157">
        <f t="shared" si="27"/>
        <v>155602576</v>
      </c>
      <c r="AG60" s="153">
        <f t="shared" si="25"/>
        <v>0.91476805339006739</v>
      </c>
      <c r="AH60" s="157">
        <f t="shared" si="27"/>
        <v>3192703.4499999937</v>
      </c>
    </row>
    <row r="61" spans="1:34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4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</sheetData>
  <mergeCells count="26">
    <mergeCell ref="A50:B50"/>
    <mergeCell ref="A51:B51"/>
    <mergeCell ref="A52:B52"/>
    <mergeCell ref="A59:B59"/>
    <mergeCell ref="A60:B60"/>
    <mergeCell ref="A53:B53"/>
    <mergeCell ref="A54:B54"/>
    <mergeCell ref="A55:B55"/>
    <mergeCell ref="A56:B56"/>
    <mergeCell ref="A57:B57"/>
    <mergeCell ref="A58:B58"/>
    <mergeCell ref="A23:B23"/>
    <mergeCell ref="A24:B24"/>
    <mergeCell ref="A46:F46"/>
    <mergeCell ref="A48:B48"/>
    <mergeCell ref="A49:B49"/>
    <mergeCell ref="A18:B18"/>
    <mergeCell ref="A19:B19"/>
    <mergeCell ref="A20:B20"/>
    <mergeCell ref="A21:B21"/>
    <mergeCell ref="A22:B22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E1" zoomScaleNormal="100" workbookViewId="0">
      <selection activeCell="K16" sqref="K16:Y24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2.5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14" style="2" customWidth="1"/>
    <col min="28" max="28" width="13.375" style="2" customWidth="1"/>
    <col min="29" max="29" width="11.875" style="2" customWidth="1"/>
    <col min="30" max="30" width="12.75" style="2" customWidth="1"/>
    <col min="31" max="31" width="9" style="2"/>
    <col min="32" max="32" width="14.125" style="2" customWidth="1"/>
    <col min="33" max="33" width="9" style="2"/>
    <col min="34" max="34" width="13.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56</v>
      </c>
    </row>
    <row r="3" spans="1:29" ht="15.95" customHeight="1">
      <c r="B3" s="202" t="s">
        <v>43</v>
      </c>
      <c r="C3" s="202"/>
      <c r="D3" s="202"/>
      <c r="E3" s="3"/>
      <c r="F3" s="3" t="s">
        <v>57</v>
      </c>
    </row>
    <row r="4" spans="1:29" ht="15.95" customHeight="1">
      <c r="E4" s="3"/>
      <c r="F4" s="3" t="s">
        <v>58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38</v>
      </c>
      <c r="B8" s="7" t="s">
        <v>39</v>
      </c>
    </row>
    <row r="9" spans="1:29" ht="19.5" customHeight="1">
      <c r="A9" s="6" t="s">
        <v>40</v>
      </c>
      <c r="B9" s="7" t="s">
        <v>98</v>
      </c>
    </row>
    <row r="10" spans="1:29" ht="19.5" customHeight="1">
      <c r="A10" s="6" t="s">
        <v>41</v>
      </c>
      <c r="B10" s="8">
        <v>41105</v>
      </c>
    </row>
    <row r="11" spans="1:29" ht="19.5" customHeight="1">
      <c r="A11" s="6" t="s">
        <v>42</v>
      </c>
      <c r="B11" s="7" t="s">
        <v>200</v>
      </c>
    </row>
    <row r="12" spans="1:29" ht="19.5" customHeight="1">
      <c r="A12" s="6"/>
      <c r="B12" s="7"/>
    </row>
    <row r="13" spans="1:29" ht="24.75" customHeight="1">
      <c r="A13" s="212"/>
      <c r="B13" s="212"/>
      <c r="C13" s="212"/>
      <c r="D13" s="212"/>
      <c r="E13" s="212"/>
      <c r="F13" s="212"/>
    </row>
    <row r="14" spans="1:29" ht="31.5" customHeight="1">
      <c r="A14" s="213" t="s">
        <v>29</v>
      </c>
      <c r="B14" s="213"/>
      <c r="C14" s="213"/>
      <c r="D14" s="213"/>
      <c r="E14" s="213"/>
      <c r="F14" s="213"/>
    </row>
    <row r="15" spans="1:29">
      <c r="K15" s="134"/>
      <c r="L15" s="134"/>
      <c r="M15" s="134"/>
      <c r="N15" s="134"/>
    </row>
    <row r="16" spans="1:29" ht="38.25">
      <c r="A16" s="214"/>
      <c r="B16" s="214"/>
      <c r="C16" s="9" t="s">
        <v>183</v>
      </c>
      <c r="D16" s="9" t="s">
        <v>207</v>
      </c>
      <c r="E16" s="9" t="s">
        <v>25</v>
      </c>
      <c r="F16" s="9" t="s">
        <v>48</v>
      </c>
      <c r="G16" s="10">
        <v>0.75</v>
      </c>
      <c r="H16" s="2" t="s">
        <v>44</v>
      </c>
      <c r="I16" s="10">
        <v>0.75</v>
      </c>
      <c r="K16" s="9" t="s">
        <v>183</v>
      </c>
      <c r="L16" s="9" t="s">
        <v>184</v>
      </c>
      <c r="M16" s="9">
        <v>2012</v>
      </c>
      <c r="N16" s="9" t="s">
        <v>143</v>
      </c>
      <c r="O16" s="9" t="s">
        <v>202</v>
      </c>
      <c r="P16" s="9" t="s">
        <v>187</v>
      </c>
      <c r="Q16" s="9">
        <v>2011</v>
      </c>
      <c r="R16" s="9" t="s">
        <v>99</v>
      </c>
      <c r="S16" s="9" t="s">
        <v>203</v>
      </c>
      <c r="T16" s="9" t="s">
        <v>142</v>
      </c>
      <c r="U16" s="9">
        <v>2010</v>
      </c>
      <c r="V16" s="9" t="s">
        <v>1</v>
      </c>
      <c r="W16" s="9" t="s">
        <v>129</v>
      </c>
      <c r="X16" s="9" t="s">
        <v>113</v>
      </c>
      <c r="Y16" s="9">
        <v>2009</v>
      </c>
      <c r="Z16" s="9" t="s">
        <v>111</v>
      </c>
      <c r="AA16" s="9" t="s">
        <v>130</v>
      </c>
      <c r="AB16" s="9" t="s">
        <v>114</v>
      </c>
      <c r="AC16" s="9">
        <v>2008</v>
      </c>
    </row>
    <row r="17" spans="1:29" ht="15.75" customHeight="1">
      <c r="A17" s="215" t="s">
        <v>26</v>
      </c>
      <c r="B17" s="215"/>
      <c r="C17" s="11">
        <f>K17</f>
        <v>124011587</v>
      </c>
      <c r="D17" s="11">
        <f>L17</f>
        <v>124978868</v>
      </c>
      <c r="E17" s="12">
        <f t="shared" ref="E17:E24" si="0">(D17/C17)</f>
        <v>1.0077999243731959</v>
      </c>
      <c r="F17" s="29">
        <f t="shared" ref="F17:F23" si="1">D17-G17</f>
        <v>31970177.75</v>
      </c>
      <c r="G17" s="14">
        <f>C17*0.75</f>
        <v>93008690.25</v>
      </c>
      <c r="H17" s="15">
        <v>0</v>
      </c>
      <c r="I17" s="10">
        <v>0.75</v>
      </c>
      <c r="J17" s="21" t="str">
        <f>A17</f>
        <v>Current / Delinquent Taxes</v>
      </c>
      <c r="K17" s="165">
        <v>124011587</v>
      </c>
      <c r="L17" s="165">
        <v>124978868</v>
      </c>
      <c r="M17" s="171">
        <f t="shared" ref="M17:M24" si="2">L17/K17</f>
        <v>1.0077999243731959</v>
      </c>
      <c r="N17" s="161">
        <v>130863490</v>
      </c>
      <c r="O17" s="161">
        <v>130320072</v>
      </c>
      <c r="P17" s="161">
        <v>131364776</v>
      </c>
      <c r="Q17" s="12">
        <f>O17/P17</f>
        <v>0.99204730497922822</v>
      </c>
      <c r="R17" s="11">
        <v>130450730</v>
      </c>
      <c r="S17" s="11">
        <v>129447511.40000001</v>
      </c>
      <c r="T17" s="166">
        <v>130271144</v>
      </c>
      <c r="U17" s="12">
        <f t="shared" ref="U17:U24" si="3">(S17/T17)</f>
        <v>0.99367755149214021</v>
      </c>
      <c r="V17" s="11">
        <f>'FY 2009 Rev 01-04-10'!E3</f>
        <v>119221816</v>
      </c>
      <c r="W17" s="11">
        <f>SUM('FY 2009 Rev 01-04-10'!F3:N3)</f>
        <v>118519974.36000001</v>
      </c>
      <c r="X17" s="11">
        <v>119981009</v>
      </c>
      <c r="Y17" s="12">
        <f t="shared" ref="Y17:Y24" si="4">W17/X17</f>
        <v>0.98782278418745428</v>
      </c>
      <c r="Z17" s="11">
        <f>'FY 2008 Rev 01-04-10'!E3</f>
        <v>106565989</v>
      </c>
      <c r="AA17" s="11">
        <f>SUM('FY 2008 Rev 01-04-10'!F3:N3)</f>
        <v>115681496.34</v>
      </c>
      <c r="AB17" s="11">
        <f>'FY 2008 Rev 01-04-10'!D3</f>
        <v>117399101.34999999</v>
      </c>
      <c r="AC17" s="12">
        <f t="shared" ref="AC17:AC24" si="5">AA17/AB17</f>
        <v>0.98536952165520142</v>
      </c>
    </row>
    <row r="18" spans="1:29" ht="15.75" customHeight="1">
      <c r="A18" s="215" t="s">
        <v>102</v>
      </c>
      <c r="B18" s="215"/>
      <c r="C18" s="11">
        <f t="shared" ref="C18:D23" si="6">K18</f>
        <v>4000</v>
      </c>
      <c r="D18" s="11">
        <f t="shared" si="6"/>
        <v>3500</v>
      </c>
      <c r="E18" s="12">
        <f>(D18/C18)</f>
        <v>0.875</v>
      </c>
      <c r="F18" s="22">
        <f>D18-G18</f>
        <v>500</v>
      </c>
      <c r="G18" s="14">
        <f t="shared" ref="G18:G24" si="7">C18*0.75</f>
        <v>3000</v>
      </c>
      <c r="H18" s="15">
        <f t="shared" ref="H18:H23" si="8">C18-D18</f>
        <v>500</v>
      </c>
      <c r="I18" s="10">
        <v>0.75</v>
      </c>
      <c r="J18" s="21" t="str">
        <f t="shared" ref="J18:J23" si="9">A18</f>
        <v>License / Permits</v>
      </c>
      <c r="K18" s="165">
        <v>4000</v>
      </c>
      <c r="L18" s="165">
        <v>3500</v>
      </c>
      <c r="M18" s="171">
        <f t="shared" si="2"/>
        <v>0.875</v>
      </c>
      <c r="N18" s="161">
        <v>4000</v>
      </c>
      <c r="O18" s="161">
        <v>5500</v>
      </c>
      <c r="P18" s="161">
        <v>6000</v>
      </c>
      <c r="Q18" s="12">
        <f t="shared" ref="Q18:Q24" si="10">O18/P18</f>
        <v>0.91666666666666663</v>
      </c>
      <c r="R18" s="16">
        <f>C18</f>
        <v>4000</v>
      </c>
      <c r="S18" s="28">
        <v>2500</v>
      </c>
      <c r="T18" s="165">
        <v>2500</v>
      </c>
      <c r="U18" s="12">
        <f t="shared" si="3"/>
        <v>1</v>
      </c>
      <c r="V18" s="28">
        <f>'FY 2009 Rev 01-04-10'!E6</f>
        <v>4000</v>
      </c>
      <c r="W18" s="28">
        <f>SUM('FY 2009 Rev 01-04-10'!F6:N6)</f>
        <v>3500</v>
      </c>
      <c r="X18" s="28">
        <f>'FY 2009 Rev 01-04-10'!D6</f>
        <v>4000</v>
      </c>
      <c r="Y18" s="12">
        <f t="shared" si="4"/>
        <v>0.875</v>
      </c>
      <c r="Z18" s="28">
        <f>'FY 2008 Rev 01-04-10'!E6</f>
        <v>4200</v>
      </c>
      <c r="AA18" s="28">
        <f>SUM('FY 2008 Rev 01-04-10'!F6:N6)</f>
        <v>3000</v>
      </c>
      <c r="AB18" s="28">
        <f>'FY 2008 Rev 01-04-10'!D6</f>
        <v>4000</v>
      </c>
      <c r="AC18" s="12">
        <f t="shared" si="5"/>
        <v>0.75</v>
      </c>
    </row>
    <row r="19" spans="1:29" ht="15.75" customHeight="1">
      <c r="A19" s="215" t="s">
        <v>55</v>
      </c>
      <c r="B19" s="215"/>
      <c r="C19" s="11">
        <f t="shared" si="6"/>
        <v>3186800</v>
      </c>
      <c r="D19" s="11">
        <f t="shared" si="6"/>
        <v>3048041</v>
      </c>
      <c r="E19" s="12">
        <f t="shared" si="0"/>
        <v>0.95645820258566583</v>
      </c>
      <c r="F19" s="22">
        <f t="shared" si="1"/>
        <v>657941</v>
      </c>
      <c r="G19" s="14">
        <f t="shared" si="7"/>
        <v>2390100</v>
      </c>
      <c r="H19" s="27">
        <f t="shared" si="8"/>
        <v>138759</v>
      </c>
      <c r="I19" s="10">
        <v>0.75</v>
      </c>
      <c r="J19" s="21" t="str">
        <f t="shared" si="9"/>
        <v>Intergovernmental Revenue</v>
      </c>
      <c r="K19" s="165">
        <v>3186800</v>
      </c>
      <c r="L19" s="165">
        <f>25000+839384+1129932+1053725</f>
        <v>3048041</v>
      </c>
      <c r="M19" s="171">
        <f t="shared" si="2"/>
        <v>0.95645820258566583</v>
      </c>
      <c r="N19" s="161">
        <v>3312377</v>
      </c>
      <c r="O19" s="161">
        <v>2449923</v>
      </c>
      <c r="P19" s="161">
        <v>3356039</v>
      </c>
      <c r="Q19" s="12">
        <f t="shared" si="10"/>
        <v>0.73000432950868566</v>
      </c>
      <c r="R19" s="16">
        <v>3547135</v>
      </c>
      <c r="S19" s="28">
        <v>2353506.14</v>
      </c>
      <c r="T19" s="165">
        <v>3908666</v>
      </c>
      <c r="U19" s="12">
        <f t="shared" si="3"/>
        <v>0.60212515983714143</v>
      </c>
      <c r="V19" s="28">
        <f>'FY 2009 Rev 01-04-10'!E11</f>
        <v>3678780</v>
      </c>
      <c r="W19" s="28">
        <f>SUM('FY 2009 Rev 01-04-10'!F11:N11)</f>
        <v>2231166.7399999998</v>
      </c>
      <c r="X19" s="28">
        <f>'FY 2009 Rev 01-04-10'!D11</f>
        <v>3992954.02</v>
      </c>
      <c r="Y19" s="12">
        <f t="shared" si="4"/>
        <v>0.55877596607035307</v>
      </c>
      <c r="Z19" s="28">
        <f>'FY 2008 Rev 01-04-10'!E11</f>
        <v>3079080</v>
      </c>
      <c r="AA19" s="28">
        <f>SUM('FY 2008 Rev 01-04-10'!F11:N11)</f>
        <v>2318013.42</v>
      </c>
      <c r="AB19" s="28">
        <f>'FY 2008 Rev 01-04-10'!D11</f>
        <v>3979230.29</v>
      </c>
      <c r="AC19" s="12">
        <f t="shared" si="5"/>
        <v>0.58252808987338101</v>
      </c>
    </row>
    <row r="20" spans="1:29" ht="15.75" customHeight="1">
      <c r="A20" s="215" t="s">
        <v>2</v>
      </c>
      <c r="B20" s="215"/>
      <c r="C20" s="11">
        <f t="shared" si="6"/>
        <v>16144661</v>
      </c>
      <c r="D20" s="11">
        <f t="shared" si="6"/>
        <v>12950241</v>
      </c>
      <c r="E20" s="12">
        <f t="shared" si="0"/>
        <v>0.80213768502169236</v>
      </c>
      <c r="F20" s="22">
        <f t="shared" si="1"/>
        <v>841745.25</v>
      </c>
      <c r="G20" s="14">
        <f t="shared" si="7"/>
        <v>12108495.75</v>
      </c>
      <c r="H20" s="27">
        <f t="shared" si="8"/>
        <v>3194420</v>
      </c>
      <c r="I20" s="10">
        <v>0.75</v>
      </c>
      <c r="J20" s="21" t="str">
        <f t="shared" si="9"/>
        <v>Fees/Charges for Services</v>
      </c>
      <c r="K20" s="165">
        <v>16144661</v>
      </c>
      <c r="L20" s="165">
        <f>4565523+3556941+4655650+22980+149147</f>
        <v>12950241</v>
      </c>
      <c r="M20" s="171">
        <f t="shared" si="2"/>
        <v>0.80213768502169236</v>
      </c>
      <c r="N20" s="161">
        <v>15205012</v>
      </c>
      <c r="O20" s="161">
        <v>11565808</v>
      </c>
      <c r="P20" s="161">
        <v>15750927</v>
      </c>
      <c r="Q20" s="12">
        <f t="shared" si="10"/>
        <v>0.73429379743808099</v>
      </c>
      <c r="R20" s="16">
        <v>16957104</v>
      </c>
      <c r="S20" s="28">
        <v>11247465.740000002</v>
      </c>
      <c r="T20" s="165">
        <v>15217085</v>
      </c>
      <c r="U20" s="12">
        <f t="shared" si="3"/>
        <v>0.73913405491261974</v>
      </c>
      <c r="V20" s="28">
        <f>'FY 2009 Rev 01-04-10'!E18</f>
        <v>19143500</v>
      </c>
      <c r="W20" s="28">
        <f>SUM('FY 2009 Rev 01-04-10'!F18:N18)</f>
        <v>11414629.09</v>
      </c>
      <c r="X20" s="28">
        <f>'FY 2009 Rev 01-04-10'!D18</f>
        <v>15850676.109999999</v>
      </c>
      <c r="Y20" s="12">
        <f t="shared" si="4"/>
        <v>0.72013515453758148</v>
      </c>
      <c r="Z20" s="28">
        <f>'FY 2008 Rev 01-04-10'!E18</f>
        <v>16631625</v>
      </c>
      <c r="AA20" s="28">
        <f>SUM('FY 2008 Rev 01-04-10'!F18:N18)</f>
        <v>11724668.380000001</v>
      </c>
      <c r="AB20" s="28">
        <f>'FY 2008 Rev 01-04-10'!D18</f>
        <v>15930660.34</v>
      </c>
      <c r="AC20" s="12">
        <f t="shared" si="5"/>
        <v>0.73598131714356796</v>
      </c>
    </row>
    <row r="21" spans="1:29" ht="15.75" customHeight="1">
      <c r="A21" s="215" t="s">
        <v>4</v>
      </c>
      <c r="B21" s="215"/>
      <c r="C21" s="11">
        <f t="shared" si="6"/>
        <v>1881000</v>
      </c>
      <c r="D21" s="11">
        <f t="shared" si="6"/>
        <v>1564760</v>
      </c>
      <c r="E21" s="12">
        <f t="shared" si="0"/>
        <v>0.83187666135034555</v>
      </c>
      <c r="F21" s="22">
        <f t="shared" si="1"/>
        <v>154010</v>
      </c>
      <c r="G21" s="14">
        <f t="shared" si="7"/>
        <v>1410750</v>
      </c>
      <c r="H21" s="27">
        <f t="shared" si="8"/>
        <v>316240</v>
      </c>
      <c r="I21" s="10">
        <v>0.75</v>
      </c>
      <c r="J21" s="21" t="str">
        <f t="shared" si="9"/>
        <v>Fines</v>
      </c>
      <c r="K21" s="165">
        <v>1881000</v>
      </c>
      <c r="L21" s="165">
        <v>1564760</v>
      </c>
      <c r="M21" s="171">
        <f t="shared" si="2"/>
        <v>0.83187666135034555</v>
      </c>
      <c r="N21" s="161">
        <v>1748000</v>
      </c>
      <c r="O21" s="161">
        <v>1422963</v>
      </c>
      <c r="P21" s="161">
        <v>1992671</v>
      </c>
      <c r="Q21" s="12">
        <f t="shared" si="10"/>
        <v>0.71409831326897411</v>
      </c>
      <c r="R21" s="16">
        <v>2301020</v>
      </c>
      <c r="S21" s="28">
        <v>1313542.2</v>
      </c>
      <c r="T21" s="165">
        <v>1821451</v>
      </c>
      <c r="U21" s="12">
        <f t="shared" si="3"/>
        <v>0.72115154346726862</v>
      </c>
      <c r="V21" s="28">
        <f>'FY 2009 Rev 01-04-10'!E20</f>
        <v>2771000</v>
      </c>
      <c r="W21" s="28">
        <f>SUM('FY 2009 Rev 01-04-10'!F20:N20)</f>
        <v>1711633.2800000003</v>
      </c>
      <c r="X21" s="28">
        <f>'FY 2009 Rev 01-04-10'!D20</f>
        <v>2270389.13</v>
      </c>
      <c r="Y21" s="12">
        <f t="shared" si="4"/>
        <v>0.75389423662365773</v>
      </c>
      <c r="Z21" s="28">
        <f>'FY 2008 Rev 01-04-10'!E20</f>
        <v>2967500</v>
      </c>
      <c r="AA21" s="28">
        <f>SUM('FY 2008 Rev 01-04-10'!F20:N20)</f>
        <v>2082019.39</v>
      </c>
      <c r="AB21" s="28">
        <f>'FY 2008 Rev 01-04-10'!D20</f>
        <v>2688475.7</v>
      </c>
      <c r="AC21" s="12">
        <f t="shared" si="5"/>
        <v>0.77442373386525298</v>
      </c>
    </row>
    <row r="22" spans="1:29" ht="15.75" customHeight="1">
      <c r="A22" s="215" t="s">
        <v>3</v>
      </c>
      <c r="B22" s="215"/>
      <c r="C22" s="11">
        <f t="shared" si="6"/>
        <v>2019600</v>
      </c>
      <c r="D22" s="11">
        <f t="shared" si="6"/>
        <v>715819</v>
      </c>
      <c r="E22" s="12">
        <f t="shared" si="0"/>
        <v>0.35443602693602694</v>
      </c>
      <c r="F22" s="22">
        <f t="shared" si="1"/>
        <v>-798881</v>
      </c>
      <c r="G22" s="14">
        <f t="shared" si="7"/>
        <v>1514700</v>
      </c>
      <c r="H22" s="27">
        <f t="shared" si="8"/>
        <v>1303781</v>
      </c>
      <c r="I22" s="10">
        <v>0.75</v>
      </c>
      <c r="J22" s="21" t="str">
        <f t="shared" si="9"/>
        <v>Investment Revenue</v>
      </c>
      <c r="K22" s="165">
        <v>2019600</v>
      </c>
      <c r="L22" s="165">
        <f>699334+16485</f>
        <v>715819</v>
      </c>
      <c r="M22" s="171">
        <f t="shared" si="2"/>
        <v>0.35443602693602694</v>
      </c>
      <c r="N22" s="161">
        <v>1119600</v>
      </c>
      <c r="O22" s="161">
        <v>1363086</v>
      </c>
      <c r="P22" s="161">
        <v>2040386</v>
      </c>
      <c r="Q22" s="12">
        <f t="shared" si="10"/>
        <v>0.66805300565677284</v>
      </c>
      <c r="R22" s="16">
        <v>3133290</v>
      </c>
      <c r="S22" s="28">
        <v>1514494.0499999998</v>
      </c>
      <c r="T22" s="165">
        <v>2192285</v>
      </c>
      <c r="U22" s="12">
        <f t="shared" si="3"/>
        <v>0.69082899805454123</v>
      </c>
      <c r="V22" s="28">
        <f>'FY 2009 Rev 01-04-10'!E23</f>
        <v>5168400</v>
      </c>
      <c r="W22" s="28">
        <f>SUM('FY 2009 Rev 01-04-10'!F23:N23)</f>
        <v>2501728.25</v>
      </c>
      <c r="X22" s="28">
        <v>3458264</v>
      </c>
      <c r="Y22" s="12">
        <f t="shared" si="4"/>
        <v>0.72340580418383327</v>
      </c>
      <c r="Z22" s="28">
        <f>'FY 2008 Rev 01-04-10'!E23</f>
        <v>6994800</v>
      </c>
      <c r="AA22" s="28">
        <f>SUM('FY 2008 Rev 01-04-10'!F23:N23)</f>
        <v>4831159.5600000005</v>
      </c>
      <c r="AB22" s="28">
        <f>'FY 2008 Rev 01-04-10'!D23</f>
        <v>6575786.3600000003</v>
      </c>
      <c r="AC22" s="12">
        <f t="shared" si="5"/>
        <v>0.73468925167453281</v>
      </c>
    </row>
    <row r="23" spans="1:29" ht="15.75" customHeight="1" thickBot="1">
      <c r="A23" s="215" t="s">
        <v>27</v>
      </c>
      <c r="B23" s="215"/>
      <c r="C23" s="11">
        <f t="shared" si="6"/>
        <v>547000</v>
      </c>
      <c r="D23" s="11">
        <f t="shared" si="6"/>
        <v>524218</v>
      </c>
      <c r="E23" s="12">
        <f t="shared" si="0"/>
        <v>0.95835100548446073</v>
      </c>
      <c r="F23" s="22">
        <f t="shared" si="1"/>
        <v>113968</v>
      </c>
      <c r="G23" s="14">
        <f t="shared" si="7"/>
        <v>410250</v>
      </c>
      <c r="H23" s="27">
        <f t="shared" si="8"/>
        <v>22782</v>
      </c>
      <c r="I23" s="10">
        <v>0.75</v>
      </c>
      <c r="J23" s="21" t="str">
        <f t="shared" si="9"/>
        <v>Miscellaneous</v>
      </c>
      <c r="K23" s="167">
        <v>547000</v>
      </c>
      <c r="L23" s="167">
        <f>5116+468505+18208+32389</f>
        <v>524218</v>
      </c>
      <c r="M23" s="174">
        <f t="shared" si="2"/>
        <v>0.95835100548446073</v>
      </c>
      <c r="N23" s="162">
        <v>463840</v>
      </c>
      <c r="O23" s="162">
        <v>598474</v>
      </c>
      <c r="P23" s="162">
        <f>735348+26986</f>
        <v>762334</v>
      </c>
      <c r="Q23" s="152">
        <f t="shared" si="10"/>
        <v>0.78505484472685205</v>
      </c>
      <c r="R23" s="117">
        <f>519135+45000</f>
        <v>564135</v>
      </c>
      <c r="S23" s="118">
        <v>508163.77999999997</v>
      </c>
      <c r="T23" s="167">
        <f>574051+220348</f>
        <v>794399</v>
      </c>
      <c r="U23" s="152">
        <f t="shared" si="3"/>
        <v>0.63968330775844373</v>
      </c>
      <c r="V23" s="118">
        <f>'FY 2009 Rev 01-04-10'!E25+'FY 2009 Rev 01-04-10'!E29+'FY 2009 Rev 01-04-10'!E32</f>
        <v>499810</v>
      </c>
      <c r="W23" s="118">
        <f>SUM('FY 2009 Rev 01-04-10'!F25:N25,'FY 2009 Rev 01-04-10'!F29:N29,'FY 2009 Rev 01-04-10'!F32:N32)</f>
        <v>450451.88</v>
      </c>
      <c r="X23" s="118">
        <f>797689+241752</f>
        <v>1039441</v>
      </c>
      <c r="Y23" s="152">
        <f t="shared" si="4"/>
        <v>0.43335973855177928</v>
      </c>
      <c r="Z23" s="118">
        <f>'FY 2008 Rev 01-04-10'!E25+'FY 2008 Rev 01-04-10'!E29+'FY 2008 Rev 01-04-10'!E32</f>
        <v>500000</v>
      </c>
      <c r="AA23" s="118">
        <f>SUM('FY 2008 Rev 01-04-10'!F25:N25,'FY 2008 Rev 01-04-10'!F29:N29,'FY 2008 Rev 01-04-10'!F32:N32)</f>
        <v>390143.99000000005</v>
      </c>
      <c r="AB23" s="118">
        <f>'FY 2008 Rev 01-04-10'!D25+'FY 2008 Rev 01-04-10'!D29+'FY 2008 Rev 01-04-10'!D32</f>
        <v>2058982.75</v>
      </c>
      <c r="AC23" s="152">
        <f t="shared" si="5"/>
        <v>0.18948385555925618</v>
      </c>
    </row>
    <row r="24" spans="1:29" ht="15.75" customHeight="1" thickBot="1">
      <c r="A24" s="216" t="s">
        <v>28</v>
      </c>
      <c r="B24" s="216"/>
      <c r="C24" s="11">
        <f>SUM(C17:C23)</f>
        <v>147794648</v>
      </c>
      <c r="D24" s="11">
        <f>SUM(D17:D23)</f>
        <v>143785447</v>
      </c>
      <c r="E24" s="12">
        <f t="shared" si="0"/>
        <v>0.97287316520419598</v>
      </c>
      <c r="F24" s="17">
        <f>SUM(F17:F23)</f>
        <v>32939461</v>
      </c>
      <c r="G24" s="14">
        <f t="shared" si="7"/>
        <v>110845986</v>
      </c>
      <c r="H24" s="27"/>
      <c r="J24" s="21"/>
      <c r="K24" s="172">
        <f>SUM(K17:K23)</f>
        <v>147794648</v>
      </c>
      <c r="L24" s="172">
        <f>SUM(L17:L23)</f>
        <v>143785447</v>
      </c>
      <c r="M24" s="173">
        <f t="shared" si="2"/>
        <v>0.97287316520419598</v>
      </c>
      <c r="N24" s="164">
        <f>SUM(N17:N23)</f>
        <v>152716319</v>
      </c>
      <c r="O24" s="164">
        <f>SUM(O17:O23)</f>
        <v>147725826</v>
      </c>
      <c r="P24" s="160">
        <f>SUM(P17:P23)</f>
        <v>155273133</v>
      </c>
      <c r="Q24" s="153">
        <f t="shared" si="10"/>
        <v>0.95139334890602101</v>
      </c>
      <c r="R24" s="116">
        <f>SUM(R17:R23)</f>
        <v>156957414</v>
      </c>
      <c r="S24" s="116">
        <f>SUM(S17:S23)</f>
        <v>146387183.31</v>
      </c>
      <c r="T24" s="116">
        <f>SUM(T17:T23)</f>
        <v>154207530</v>
      </c>
      <c r="U24" s="153">
        <f t="shared" si="3"/>
        <v>0.94928686887080027</v>
      </c>
      <c r="V24" s="116">
        <f>SUM(V17:V23)</f>
        <v>150487306</v>
      </c>
      <c r="W24" s="116">
        <f>SUM(W17:W23)</f>
        <v>136833083.60000002</v>
      </c>
      <c r="X24" s="116">
        <f>SUM(X17:X23)</f>
        <v>146596733.25999999</v>
      </c>
      <c r="Y24" s="153">
        <f t="shared" si="4"/>
        <v>0.93339790428560632</v>
      </c>
      <c r="Z24" s="116">
        <f>SUM(Z17:Z23)</f>
        <v>136743194</v>
      </c>
      <c r="AA24" s="116">
        <f>SUM(AA17:AA23)</f>
        <v>137030501.08000001</v>
      </c>
      <c r="AB24" s="116">
        <f>SUM(AB17:AB23)</f>
        <v>148636236.78999999</v>
      </c>
      <c r="AC24" s="153">
        <f t="shared" si="5"/>
        <v>0.92191853103495158</v>
      </c>
    </row>
    <row r="25" spans="1:29" ht="22.5" customHeight="1" thickTop="1">
      <c r="J25" s="21"/>
      <c r="K25" s="26"/>
    </row>
    <row r="26" spans="1:29">
      <c r="J26" s="21"/>
      <c r="K26" s="26"/>
    </row>
    <row r="31" spans="1:29">
      <c r="H31" s="15"/>
    </row>
    <row r="32" spans="1:29">
      <c r="H32" s="14"/>
    </row>
    <row r="40" spans="1:34">
      <c r="J40" s="135"/>
      <c r="K40" s="135"/>
    </row>
    <row r="41" spans="1:34">
      <c r="J41" s="135"/>
      <c r="K41" s="135"/>
    </row>
    <row r="42" spans="1:34">
      <c r="J42" s="135"/>
      <c r="K42" s="135"/>
    </row>
    <row r="43" spans="1:34">
      <c r="J43" s="135"/>
      <c r="K43" s="135"/>
    </row>
    <row r="44" spans="1:34">
      <c r="J44" s="135"/>
      <c r="K44" s="135"/>
    </row>
    <row r="45" spans="1:34">
      <c r="J45" s="135"/>
      <c r="K45" s="135"/>
    </row>
    <row r="46" spans="1:34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4" ht="12" customHeight="1">
      <c r="B47" s="18"/>
      <c r="C47" s="18"/>
      <c r="D47" s="18"/>
      <c r="E47" s="18"/>
      <c r="J47" s="135"/>
      <c r="K47" s="135"/>
    </row>
    <row r="48" spans="1:34" ht="36" customHeight="1">
      <c r="A48" s="217"/>
      <c r="B48" s="217"/>
      <c r="C48" s="19" t="s">
        <v>183</v>
      </c>
      <c r="D48" s="19" t="s">
        <v>201</v>
      </c>
      <c r="E48" s="19" t="s">
        <v>25</v>
      </c>
      <c r="F48" s="9" t="s">
        <v>48</v>
      </c>
      <c r="G48" s="10">
        <v>0.75</v>
      </c>
      <c r="H48" s="2" t="s">
        <v>45</v>
      </c>
      <c r="K48" s="154" t="s">
        <v>183</v>
      </c>
      <c r="L48" s="150" t="s">
        <v>204</v>
      </c>
      <c r="M48" s="151">
        <v>2012</v>
      </c>
      <c r="N48" s="150" t="s">
        <v>189</v>
      </c>
      <c r="O48" s="154" t="s">
        <v>143</v>
      </c>
      <c r="P48" s="150" t="s">
        <v>167</v>
      </c>
      <c r="Q48" s="151">
        <v>2011</v>
      </c>
      <c r="R48" s="150" t="s">
        <v>147</v>
      </c>
      <c r="S48" s="154" t="s">
        <v>99</v>
      </c>
      <c r="T48" s="150" t="s">
        <v>205</v>
      </c>
      <c r="U48" s="151">
        <v>2010</v>
      </c>
      <c r="V48" s="150" t="s">
        <v>116</v>
      </c>
      <c r="W48" s="150" t="s">
        <v>1</v>
      </c>
      <c r="X48" s="150" t="s">
        <v>131</v>
      </c>
      <c r="Y48" s="151">
        <v>2009</v>
      </c>
      <c r="Z48" s="150" t="s">
        <v>118</v>
      </c>
      <c r="AA48" s="150">
        <v>2009</v>
      </c>
      <c r="AB48" s="150" t="s">
        <v>119</v>
      </c>
      <c r="AC48" s="150" t="s">
        <v>111</v>
      </c>
      <c r="AD48" s="150" t="s">
        <v>206</v>
      </c>
      <c r="AE48" s="151">
        <v>2008</v>
      </c>
      <c r="AF48" s="150" t="s">
        <v>121</v>
      </c>
      <c r="AG48" s="150">
        <v>2008</v>
      </c>
      <c r="AH48" s="150" t="s">
        <v>122</v>
      </c>
    </row>
    <row r="49" spans="1:34" ht="15.75" customHeight="1">
      <c r="A49" s="218" t="s">
        <v>30</v>
      </c>
      <c r="B49" s="219"/>
      <c r="C49" s="11">
        <f>K49</f>
        <v>260248</v>
      </c>
      <c r="D49" s="11">
        <f>L49</f>
        <v>182160</v>
      </c>
      <c r="E49" s="12">
        <f t="shared" ref="E49:E60" si="11">(D49/C49)</f>
        <v>0.69994774215363809</v>
      </c>
      <c r="F49" s="22">
        <f>+G49-D49</f>
        <v>13026</v>
      </c>
      <c r="G49" s="23">
        <f>C49*0.75</f>
        <v>195186</v>
      </c>
      <c r="H49" s="24">
        <f t="shared" ref="H49:H57" si="12">C49-D49</f>
        <v>78088</v>
      </c>
      <c r="I49" s="1">
        <v>0.75</v>
      </c>
      <c r="J49" s="135" t="s">
        <v>30</v>
      </c>
      <c r="K49" s="13">
        <v>260248</v>
      </c>
      <c r="L49" s="13">
        <v>182160</v>
      </c>
      <c r="M49" s="155">
        <f t="shared" ref="M49:M60" si="13">(L49/K49)</f>
        <v>0.69994774215363809</v>
      </c>
      <c r="N49" s="13">
        <f>K49-L49</f>
        <v>78088</v>
      </c>
      <c r="O49" s="13">
        <v>315395</v>
      </c>
      <c r="P49" s="13">
        <v>213324</v>
      </c>
      <c r="Q49" s="155">
        <f t="shared" ref="Q49:Q60" si="14">(P49/O49)</f>
        <v>0.6763708999825615</v>
      </c>
      <c r="R49" s="13">
        <f>O49-P49</f>
        <v>102071</v>
      </c>
      <c r="S49" s="13">
        <v>302496</v>
      </c>
      <c r="T49" s="13">
        <v>200368.58</v>
      </c>
      <c r="U49" s="155">
        <f t="shared" ref="U49:U60" si="15">(T49/S49)</f>
        <v>0.66238422987411405</v>
      </c>
      <c r="V49" s="13">
        <f>S49-T49</f>
        <v>102127.42000000001</v>
      </c>
      <c r="W49" s="13">
        <f>'FY 2009 Exp 01-06-10'!C2</f>
        <v>307595</v>
      </c>
      <c r="X49" s="13">
        <f>SUM('FY 2009 Exp 01-06-10'!F2:N2)</f>
        <v>188469.08000000002</v>
      </c>
      <c r="Y49" s="155">
        <f>X49/W49</f>
        <v>0.61271828215673207</v>
      </c>
      <c r="Z49" s="13">
        <f>'FY 2009 Exp 01-06-10'!D2</f>
        <v>307595</v>
      </c>
      <c r="AA49" s="155">
        <f>X49/Z49</f>
        <v>0.61271828215673207</v>
      </c>
      <c r="AB49" s="13">
        <f>W49-X49</f>
        <v>119125.91999999998</v>
      </c>
      <c r="AC49" s="13">
        <f>'FY 2008 Exp 01-06-10'!C2</f>
        <v>326242</v>
      </c>
      <c r="AD49" s="13">
        <f>SUM('FY 2008 Exp 01-06-10'!F2:N2)</f>
        <v>199774.1</v>
      </c>
      <c r="AE49" s="155">
        <f>AD49/AC49</f>
        <v>0.61234942159501227</v>
      </c>
      <c r="AF49" s="13">
        <f>'FY 2008 Exp 01-06-10'!D2</f>
        <v>326266</v>
      </c>
      <c r="AG49" s="155">
        <f>AD49/AF49</f>
        <v>0.61230437740984356</v>
      </c>
      <c r="AH49" s="13">
        <f>AC49-AD49</f>
        <v>126467.9</v>
      </c>
    </row>
    <row r="50" spans="1:34" ht="15.75" customHeight="1">
      <c r="A50" s="218" t="s">
        <v>123</v>
      </c>
      <c r="B50" s="219"/>
      <c r="C50" s="11">
        <f t="shared" ref="C50:D59" si="16">K50</f>
        <v>376370</v>
      </c>
      <c r="D50" s="11">
        <f t="shared" si="16"/>
        <v>325848</v>
      </c>
      <c r="E50" s="12">
        <f t="shared" si="11"/>
        <v>0.86576507160506944</v>
      </c>
      <c r="F50" s="22">
        <f t="shared" ref="F50:F60" si="17">+G50-D50</f>
        <v>-43570.5</v>
      </c>
      <c r="G50" s="23">
        <f t="shared" ref="G50:G60" si="18">C50*0.75</f>
        <v>282277.5</v>
      </c>
      <c r="H50" s="25">
        <f t="shared" si="12"/>
        <v>50522</v>
      </c>
      <c r="I50" s="1">
        <v>0.75</v>
      </c>
      <c r="J50" s="135" t="s">
        <v>123</v>
      </c>
      <c r="K50" s="156">
        <v>376370</v>
      </c>
      <c r="L50" s="156">
        <v>325848</v>
      </c>
      <c r="M50" s="155">
        <f t="shared" si="13"/>
        <v>0.86576507160506944</v>
      </c>
      <c r="N50" s="156">
        <f t="shared" ref="N50:N59" si="19">K50-L50</f>
        <v>50522</v>
      </c>
      <c r="O50" s="156">
        <v>376370</v>
      </c>
      <c r="P50" s="156">
        <v>325973</v>
      </c>
      <c r="Q50" s="155">
        <f t="shared" si="14"/>
        <v>0.86609719159337883</v>
      </c>
      <c r="R50" s="156">
        <f t="shared" ref="R50:R59" si="20">O50-P50</f>
        <v>50397</v>
      </c>
      <c r="S50" s="156">
        <v>411370</v>
      </c>
      <c r="T50" s="156">
        <v>383143.79</v>
      </c>
      <c r="U50" s="155">
        <f t="shared" si="15"/>
        <v>0.9313848603447018</v>
      </c>
      <c r="V50" s="156">
        <f t="shared" ref="V50:V59" si="21">S50-T50</f>
        <v>28226.210000000021</v>
      </c>
      <c r="W50" s="156">
        <f>'FY 2009 Exp 01-06-10'!C3</f>
        <v>510370</v>
      </c>
      <c r="X50" s="156">
        <f>SUM('FY 2009 Exp 01-06-10'!F3:N3)</f>
        <v>460181.56999999995</v>
      </c>
      <c r="Y50" s="155">
        <f t="shared" ref="Y50:Y60" si="22">X50/W50</f>
        <v>0.90166265650410482</v>
      </c>
      <c r="Z50" s="156">
        <f>'FY 2009 Exp 01-06-10'!D3</f>
        <v>575162</v>
      </c>
      <c r="AA50" s="155">
        <f t="shared" ref="AA50:AA60" si="23">X50/Z50</f>
        <v>0.8000903571515503</v>
      </c>
      <c r="AB50" s="13">
        <f t="shared" ref="AB50:AB59" si="24">W50-X50</f>
        <v>50188.430000000051</v>
      </c>
      <c r="AC50" s="156">
        <f>'FY 2008 Exp 01-06-10'!C3</f>
        <v>461110</v>
      </c>
      <c r="AD50" s="156">
        <f>SUM('FY 2008 Exp 01-06-10'!F3:N3)</f>
        <v>411452.24000000005</v>
      </c>
      <c r="AE50" s="155">
        <f t="shared" ref="AE50:AE60" si="25">AD50/AC50</f>
        <v>0.89230821279087436</v>
      </c>
      <c r="AF50" s="156">
        <f>'FY 2008 Exp 01-06-10'!D3</f>
        <v>497765</v>
      </c>
      <c r="AG50" s="155">
        <f t="shared" ref="AG50:AG60" si="26">AD50/AF50</f>
        <v>0.82659937922513649</v>
      </c>
      <c r="AH50" s="13">
        <f t="shared" ref="AH50:AH59" si="27">AC50-AD50</f>
        <v>49657.759999999951</v>
      </c>
    </row>
    <row r="51" spans="1:34" ht="15.75" customHeight="1">
      <c r="A51" s="218" t="s">
        <v>31</v>
      </c>
      <c r="B51" s="219"/>
      <c r="C51" s="11">
        <f t="shared" si="16"/>
        <v>3539581</v>
      </c>
      <c r="D51" s="11">
        <f t="shared" si="16"/>
        <v>2010909</v>
      </c>
      <c r="E51" s="12">
        <f t="shared" si="11"/>
        <v>0.56812063348740993</v>
      </c>
      <c r="F51" s="22">
        <f t="shared" si="17"/>
        <v>643776.75</v>
      </c>
      <c r="G51" s="23">
        <f t="shared" si="18"/>
        <v>2654685.75</v>
      </c>
      <c r="H51" s="25">
        <f t="shared" si="12"/>
        <v>1528672</v>
      </c>
      <c r="I51" s="1">
        <v>0.75</v>
      </c>
      <c r="J51" s="135" t="s">
        <v>31</v>
      </c>
      <c r="K51" s="156">
        <v>3539581</v>
      </c>
      <c r="L51" s="156">
        <v>2010909</v>
      </c>
      <c r="M51" s="155">
        <f t="shared" si="13"/>
        <v>0.56812063348740993</v>
      </c>
      <c r="N51" s="156">
        <f t="shared" si="19"/>
        <v>1528672</v>
      </c>
      <c r="O51" s="156">
        <v>2892101</v>
      </c>
      <c r="P51" s="156">
        <v>1951047</v>
      </c>
      <c r="Q51" s="155">
        <f t="shared" si="14"/>
        <v>0.67461233200361947</v>
      </c>
      <c r="R51" s="156">
        <f t="shared" si="20"/>
        <v>941054</v>
      </c>
      <c r="S51" s="156">
        <v>3263326</v>
      </c>
      <c r="T51" s="156">
        <v>2193821.02</v>
      </c>
      <c r="U51" s="155">
        <f t="shared" si="15"/>
        <v>0.67226535749109961</v>
      </c>
      <c r="V51" s="156">
        <f t="shared" si="21"/>
        <v>1069504.98</v>
      </c>
      <c r="W51" s="156">
        <f>'FY 2009 Exp 01-06-10'!C5</f>
        <v>3360551</v>
      </c>
      <c r="X51" s="156">
        <f>SUM('FY 2009 Exp 01-06-10'!F5:N5)</f>
        <v>2129539.5900000003</v>
      </c>
      <c r="Y51" s="155">
        <f t="shared" si="22"/>
        <v>0.63368762741586138</v>
      </c>
      <c r="Z51" s="156">
        <f>'FY 2009 Exp 01-06-10'!D5</f>
        <v>3258569</v>
      </c>
      <c r="AA51" s="155">
        <f t="shared" si="23"/>
        <v>0.65351987022524316</v>
      </c>
      <c r="AB51" s="13">
        <f t="shared" si="24"/>
        <v>1231011.4099999997</v>
      </c>
      <c r="AC51" s="156">
        <f>'FY 2008 Exp 01-06-10'!C5</f>
        <v>2433415</v>
      </c>
      <c r="AD51" s="156">
        <f>SUM('FY 2008 Exp 01-06-10'!F5:N5)</f>
        <v>2055582.9600000002</v>
      </c>
      <c r="AE51" s="155">
        <f t="shared" si="25"/>
        <v>0.84473176996114518</v>
      </c>
      <c r="AF51" s="156">
        <f>'FY 2008 Exp 01-06-10'!D5</f>
        <v>3116351</v>
      </c>
      <c r="AG51" s="155">
        <f t="shared" si="26"/>
        <v>0.65961214253465039</v>
      </c>
      <c r="AH51" s="13">
        <f t="shared" si="27"/>
        <v>377832.0399999998</v>
      </c>
    </row>
    <row r="52" spans="1:34" ht="15.75" customHeight="1">
      <c r="A52" s="218" t="s">
        <v>15</v>
      </c>
      <c r="B52" s="219"/>
      <c r="C52" s="11">
        <f t="shared" si="16"/>
        <v>10245180</v>
      </c>
      <c r="D52" s="11">
        <f t="shared" si="16"/>
        <v>7358371</v>
      </c>
      <c r="E52" s="12">
        <f t="shared" si="11"/>
        <v>0.7182275958060278</v>
      </c>
      <c r="F52" s="22">
        <f t="shared" si="17"/>
        <v>325514</v>
      </c>
      <c r="G52" s="23">
        <f t="shared" si="18"/>
        <v>7683885</v>
      </c>
      <c r="H52" s="25">
        <f t="shared" si="12"/>
        <v>2886809</v>
      </c>
      <c r="I52" s="1">
        <v>0.75</v>
      </c>
      <c r="J52" s="135" t="s">
        <v>15</v>
      </c>
      <c r="K52" s="156">
        <v>10245180</v>
      </c>
      <c r="L52" s="156">
        <v>7358371</v>
      </c>
      <c r="M52" s="155">
        <f t="shared" si="13"/>
        <v>0.7182275958060278</v>
      </c>
      <c r="N52" s="156">
        <f t="shared" si="19"/>
        <v>2886809</v>
      </c>
      <c r="O52" s="156">
        <v>10586321</v>
      </c>
      <c r="P52" s="156">
        <v>7523615</v>
      </c>
      <c r="Q52" s="155">
        <f t="shared" si="14"/>
        <v>0.71069212807735571</v>
      </c>
      <c r="R52" s="156">
        <f t="shared" si="20"/>
        <v>3062706</v>
      </c>
      <c r="S52" s="156">
        <v>10604579</v>
      </c>
      <c r="T52" s="156">
        <v>7648186.1399999997</v>
      </c>
      <c r="U52" s="155">
        <f t="shared" si="15"/>
        <v>0.7212154428761387</v>
      </c>
      <c r="V52" s="156">
        <f t="shared" si="21"/>
        <v>2956392.8600000003</v>
      </c>
      <c r="W52" s="156">
        <f>'FY 2009 Exp 01-06-10'!C6</f>
        <v>10906229</v>
      </c>
      <c r="X52" s="156">
        <f>SUM('FY 2009 Exp 01-06-10'!F6:N6)</f>
        <v>7281216.5200000005</v>
      </c>
      <c r="Y52" s="155">
        <f t="shared" si="22"/>
        <v>0.66761999220812263</v>
      </c>
      <c r="Z52" s="156">
        <f>'FY 2009 Exp 01-06-10'!D6</f>
        <v>11732575</v>
      </c>
      <c r="AA52" s="155">
        <f t="shared" si="23"/>
        <v>0.62059833582994361</v>
      </c>
      <c r="AB52" s="13">
        <f t="shared" si="24"/>
        <v>3625012.4799999995</v>
      </c>
      <c r="AC52" s="156">
        <f>'FY 2008 Exp 01-06-10'!C6</f>
        <v>9925189</v>
      </c>
      <c r="AD52" s="156">
        <f>SUM('FY 2008 Exp 01-06-10'!F6:N6)</f>
        <v>6768344.6200000001</v>
      </c>
      <c r="AE52" s="155">
        <f t="shared" si="25"/>
        <v>0.68193609411367384</v>
      </c>
      <c r="AF52" s="156">
        <f>'FY 2008 Exp 01-06-10'!D6</f>
        <v>10190881</v>
      </c>
      <c r="AG52" s="155">
        <f t="shared" si="26"/>
        <v>0.6641569673907487</v>
      </c>
      <c r="AH52" s="13">
        <f t="shared" si="27"/>
        <v>3156844.38</v>
      </c>
    </row>
    <row r="53" spans="1:34" ht="15.75" customHeight="1">
      <c r="A53" s="218" t="s">
        <v>14</v>
      </c>
      <c r="B53" s="219"/>
      <c r="C53" s="11">
        <f t="shared" si="16"/>
        <v>31030208</v>
      </c>
      <c r="D53" s="11">
        <f t="shared" si="16"/>
        <v>18458064</v>
      </c>
      <c r="E53" s="12">
        <f t="shared" si="11"/>
        <v>0.59484177482793543</v>
      </c>
      <c r="F53" s="22">
        <f t="shared" si="17"/>
        <v>4814592</v>
      </c>
      <c r="G53" s="23">
        <f t="shared" si="18"/>
        <v>23272656</v>
      </c>
      <c r="H53" s="25">
        <f t="shared" si="12"/>
        <v>12572144</v>
      </c>
      <c r="I53" s="1">
        <v>0.75</v>
      </c>
      <c r="J53" s="135" t="s">
        <v>151</v>
      </c>
      <c r="K53" s="156">
        <v>31030208</v>
      </c>
      <c r="L53" s="156">
        <v>18458064</v>
      </c>
      <c r="M53" s="155">
        <f t="shared" si="13"/>
        <v>0.59484177482793543</v>
      </c>
      <c r="N53" s="156">
        <f t="shared" si="19"/>
        <v>12572144</v>
      </c>
      <c r="O53" s="156">
        <v>36594199</v>
      </c>
      <c r="P53" s="156">
        <v>21877963</v>
      </c>
      <c r="Q53" s="155">
        <f t="shared" si="14"/>
        <v>0.59785331002872888</v>
      </c>
      <c r="R53" s="156">
        <f t="shared" si="20"/>
        <v>14716236</v>
      </c>
      <c r="S53" s="156">
        <v>36033186</v>
      </c>
      <c r="T53" s="156">
        <v>19505690.91</v>
      </c>
      <c r="U53" s="155">
        <f t="shared" si="15"/>
        <v>0.54132573539292361</v>
      </c>
      <c r="V53" s="156">
        <f t="shared" si="21"/>
        <v>16527495.09</v>
      </c>
      <c r="W53" s="156">
        <f>'FY 2009 Exp 01-06-10'!C7</f>
        <v>34955768</v>
      </c>
      <c r="X53" s="156">
        <f>SUM('FY 2009 Exp 01-06-10'!F7:N7)</f>
        <v>18757224.559999999</v>
      </c>
      <c r="Y53" s="155">
        <f t="shared" si="22"/>
        <v>0.5365988399968783</v>
      </c>
      <c r="Z53" s="156">
        <f>'FY 2009 Exp 01-06-10'!D7</f>
        <v>31765451</v>
      </c>
      <c r="AA53" s="155">
        <f t="shared" si="23"/>
        <v>0.59049136623308129</v>
      </c>
      <c r="AB53" s="13">
        <f t="shared" si="24"/>
        <v>16198543.440000001</v>
      </c>
      <c r="AC53" s="156">
        <f>'FY 2008 Exp 01-06-10'!C7</f>
        <v>33931130</v>
      </c>
      <c r="AD53" s="156">
        <f>SUM('FY 2008 Exp 01-06-10'!F7:N7)</f>
        <v>16570877.930000002</v>
      </c>
      <c r="AE53" s="155">
        <f t="shared" si="25"/>
        <v>0.48836799511245282</v>
      </c>
      <c r="AF53" s="156">
        <f>'FY 2008 Exp 01-06-10'!D7</f>
        <v>30400731</v>
      </c>
      <c r="AG53" s="155">
        <f t="shared" si="26"/>
        <v>0.54508156169007915</v>
      </c>
      <c r="AH53" s="13">
        <f t="shared" si="27"/>
        <v>17360252.07</v>
      </c>
    </row>
    <row r="54" spans="1:34" ht="15.75" customHeight="1">
      <c r="A54" s="218" t="s">
        <v>124</v>
      </c>
      <c r="B54" s="219"/>
      <c r="C54" s="11">
        <f t="shared" si="16"/>
        <v>11756112</v>
      </c>
      <c r="D54" s="11">
        <f t="shared" si="16"/>
        <v>8343384</v>
      </c>
      <c r="E54" s="12">
        <f t="shared" si="11"/>
        <v>0.70970606608715536</v>
      </c>
      <c r="F54" s="22">
        <f t="shared" si="17"/>
        <v>473700</v>
      </c>
      <c r="G54" s="23">
        <f t="shared" si="18"/>
        <v>8817084</v>
      </c>
      <c r="H54" s="25">
        <f t="shared" si="12"/>
        <v>3412728</v>
      </c>
      <c r="I54" s="1">
        <v>0.75</v>
      </c>
      <c r="J54" s="135" t="s">
        <v>124</v>
      </c>
      <c r="K54" s="156">
        <v>11756112</v>
      </c>
      <c r="L54" s="156">
        <v>8343384</v>
      </c>
      <c r="M54" s="155">
        <f t="shared" si="13"/>
        <v>0.70970606608715536</v>
      </c>
      <c r="N54" s="156">
        <f t="shared" si="19"/>
        <v>3412728</v>
      </c>
      <c r="O54" s="156">
        <v>12350821</v>
      </c>
      <c r="P54" s="156">
        <v>8726451</v>
      </c>
      <c r="Q54" s="155">
        <f t="shared" si="14"/>
        <v>0.70654825294609969</v>
      </c>
      <c r="R54" s="156">
        <f t="shared" si="20"/>
        <v>3624370</v>
      </c>
      <c r="S54" s="156">
        <v>11603014</v>
      </c>
      <c r="T54" s="156">
        <v>7927464.3200000003</v>
      </c>
      <c r="U54" s="155">
        <f t="shared" si="15"/>
        <v>0.68322457595931541</v>
      </c>
      <c r="V54" s="156">
        <f t="shared" si="21"/>
        <v>3675549.6799999997</v>
      </c>
      <c r="W54" s="156">
        <f>'FY 2009 Exp 01-06-10'!C8</f>
        <v>11138553</v>
      </c>
      <c r="X54" s="156">
        <f>SUM('FY 2009 Exp 01-06-10'!F8:N8)</f>
        <v>8118866.5700000003</v>
      </c>
      <c r="Y54" s="155">
        <f t="shared" si="22"/>
        <v>0.72889778142636663</v>
      </c>
      <c r="Z54" s="156">
        <f>'FY 2009 Exp 01-06-10'!D8</f>
        <v>12178567</v>
      </c>
      <c r="AA54" s="155">
        <f t="shared" si="23"/>
        <v>0.66665204288813296</v>
      </c>
      <c r="AB54" s="13">
        <f t="shared" si="24"/>
        <v>3019686.4299999997</v>
      </c>
      <c r="AC54" s="156">
        <f>'FY 2008 Exp 01-06-10'!C8</f>
        <v>10691922</v>
      </c>
      <c r="AD54" s="156">
        <f>SUM('FY 2008 Exp 01-06-10'!F8:N8)</f>
        <v>7861356.0700000003</v>
      </c>
      <c r="AE54" s="155">
        <f t="shared" si="25"/>
        <v>0.73526126266166181</v>
      </c>
      <c r="AF54" s="156">
        <f>'FY 2008 Exp 01-06-10'!D8</f>
        <v>11576518</v>
      </c>
      <c r="AG54" s="155">
        <f t="shared" si="26"/>
        <v>0.67907777364489053</v>
      </c>
      <c r="AH54" s="13">
        <f t="shared" si="27"/>
        <v>2830565.9299999997</v>
      </c>
    </row>
    <row r="55" spans="1:34" ht="15.75" customHeight="1">
      <c r="A55" s="218" t="s">
        <v>32</v>
      </c>
      <c r="B55" s="219"/>
      <c r="C55" s="11">
        <f t="shared" si="16"/>
        <v>14379926</v>
      </c>
      <c r="D55" s="11">
        <f t="shared" si="16"/>
        <v>10318658</v>
      </c>
      <c r="E55" s="12">
        <f t="shared" si="11"/>
        <v>0.71757379001811272</v>
      </c>
      <c r="F55" s="22">
        <f t="shared" si="17"/>
        <v>466286.5</v>
      </c>
      <c r="G55" s="23">
        <f t="shared" si="18"/>
        <v>10784944.5</v>
      </c>
      <c r="H55" s="25">
        <f t="shared" si="12"/>
        <v>4061268</v>
      </c>
      <c r="I55" s="1">
        <v>0.75</v>
      </c>
      <c r="J55" s="135" t="s">
        <v>32</v>
      </c>
      <c r="K55" s="156">
        <v>14379926</v>
      </c>
      <c r="L55" s="156">
        <v>10318658</v>
      </c>
      <c r="M55" s="155">
        <f t="shared" si="13"/>
        <v>0.71757379001811272</v>
      </c>
      <c r="N55" s="156">
        <f t="shared" si="19"/>
        <v>4061268</v>
      </c>
      <c r="O55" s="156">
        <v>14589387</v>
      </c>
      <c r="P55" s="156">
        <v>10482485</v>
      </c>
      <c r="Q55" s="155">
        <f t="shared" si="14"/>
        <v>0.71850071562293882</v>
      </c>
      <c r="R55" s="156">
        <f t="shared" si="20"/>
        <v>4106902</v>
      </c>
      <c r="S55" s="156">
        <v>14742575</v>
      </c>
      <c r="T55" s="156">
        <v>10275613.33</v>
      </c>
      <c r="U55" s="155">
        <f t="shared" si="15"/>
        <v>0.69700261521477758</v>
      </c>
      <c r="V55" s="156">
        <f t="shared" si="21"/>
        <v>4466961.67</v>
      </c>
      <c r="W55" s="156">
        <f>'FY 2009 Exp 01-06-10'!C9</f>
        <v>14546174</v>
      </c>
      <c r="X55" s="156">
        <f>SUM('FY 2009 Exp 01-06-10'!F9:N9)</f>
        <v>9790971.8100000005</v>
      </c>
      <c r="Y55" s="155">
        <f t="shared" si="22"/>
        <v>0.67309601892566395</v>
      </c>
      <c r="Z55" s="156">
        <f>'FY 2009 Exp 01-06-10'!D9</f>
        <v>14631394</v>
      </c>
      <c r="AA55" s="155">
        <f t="shared" si="23"/>
        <v>0.66917559666563564</v>
      </c>
      <c r="AB55" s="13">
        <f t="shared" si="24"/>
        <v>4755202.1899999995</v>
      </c>
      <c r="AC55" s="156">
        <f>'FY 2008 Exp 01-06-10'!C9</f>
        <v>13877308</v>
      </c>
      <c r="AD55" s="156">
        <f>SUM('FY 2008 Exp 01-06-10'!F9:N9)</f>
        <v>9720455.1499999985</v>
      </c>
      <c r="AE55" s="155">
        <f t="shared" si="25"/>
        <v>0.70045682851457924</v>
      </c>
      <c r="AF55" s="156">
        <f>'FY 2008 Exp 01-06-10'!D9</f>
        <v>14249804</v>
      </c>
      <c r="AG55" s="155">
        <f t="shared" si="26"/>
        <v>0.68214658601620048</v>
      </c>
      <c r="AH55" s="13">
        <f t="shared" si="27"/>
        <v>4156852.8500000015</v>
      </c>
    </row>
    <row r="56" spans="1:34" ht="15.75" customHeight="1">
      <c r="A56" s="218" t="s">
        <v>33</v>
      </c>
      <c r="B56" s="219"/>
      <c r="C56" s="11">
        <f t="shared" si="16"/>
        <v>10468040</v>
      </c>
      <c r="D56" s="11">
        <f t="shared" si="16"/>
        <v>7386200</v>
      </c>
      <c r="E56" s="12">
        <f t="shared" si="11"/>
        <v>0.7055953167928285</v>
      </c>
      <c r="F56" s="22">
        <f t="shared" si="17"/>
        <v>464830</v>
      </c>
      <c r="G56" s="23">
        <f t="shared" si="18"/>
        <v>7851030</v>
      </c>
      <c r="H56" s="25">
        <f t="shared" si="12"/>
        <v>3081840</v>
      </c>
      <c r="I56" s="1">
        <v>0.75</v>
      </c>
      <c r="J56" s="135" t="s">
        <v>33</v>
      </c>
      <c r="K56" s="156">
        <v>10468040</v>
      </c>
      <c r="L56" s="156">
        <v>7386200</v>
      </c>
      <c r="M56" s="155">
        <f t="shared" si="13"/>
        <v>0.7055953167928285</v>
      </c>
      <c r="N56" s="156">
        <f t="shared" si="19"/>
        <v>3081840</v>
      </c>
      <c r="O56" s="156">
        <v>10895570</v>
      </c>
      <c r="P56" s="156">
        <v>7778427</v>
      </c>
      <c r="Q56" s="155">
        <f t="shared" si="14"/>
        <v>0.71390730361054999</v>
      </c>
      <c r="R56" s="156">
        <f t="shared" si="20"/>
        <v>3117143</v>
      </c>
      <c r="S56" s="156">
        <v>10775827</v>
      </c>
      <c r="T56" s="156">
        <v>7817873.0199999996</v>
      </c>
      <c r="U56" s="155">
        <f t="shared" si="15"/>
        <v>0.72550097732638053</v>
      </c>
      <c r="V56" s="156">
        <f t="shared" si="21"/>
        <v>2957953.9800000004</v>
      </c>
      <c r="W56" s="156">
        <f>'FY 2009 Exp 01-06-10'!C10</f>
        <v>10460745</v>
      </c>
      <c r="X56" s="156">
        <f>SUM('FY 2009 Exp 01-06-10'!F10:N10)</f>
        <v>7216833.1699999999</v>
      </c>
      <c r="Y56" s="155">
        <f t="shared" si="22"/>
        <v>0.68989667275131938</v>
      </c>
      <c r="Z56" s="156">
        <f>'FY 2009 Exp 01-06-10'!D10</f>
        <v>10518776</v>
      </c>
      <c r="AA56" s="155">
        <f t="shared" si="23"/>
        <v>0.68609058411358892</v>
      </c>
      <c r="AB56" s="13">
        <f t="shared" si="24"/>
        <v>3243911.83</v>
      </c>
      <c r="AC56" s="156">
        <f>'FY 2008 Exp 01-06-10'!C10</f>
        <v>10121330</v>
      </c>
      <c r="AD56" s="156">
        <f>SUM('FY 2008 Exp 01-06-10'!F10:N10)</f>
        <v>7074690.3800000008</v>
      </c>
      <c r="AE56" s="155">
        <f t="shared" si="25"/>
        <v>0.69898821399954358</v>
      </c>
      <c r="AF56" s="156">
        <f>'FY 2008 Exp 01-06-10'!D10</f>
        <v>10185578</v>
      </c>
      <c r="AG56" s="155">
        <f t="shared" si="26"/>
        <v>0.69457917655728529</v>
      </c>
      <c r="AH56" s="13">
        <f t="shared" si="27"/>
        <v>3046639.6199999992</v>
      </c>
    </row>
    <row r="57" spans="1:34" ht="15.75" customHeight="1">
      <c r="A57" s="218" t="s">
        <v>34</v>
      </c>
      <c r="B57" s="219"/>
      <c r="C57" s="11">
        <f t="shared" si="16"/>
        <v>10353415</v>
      </c>
      <c r="D57" s="11">
        <f t="shared" si="16"/>
        <v>7505150</v>
      </c>
      <c r="E57" s="12">
        <f t="shared" si="11"/>
        <v>0.72489608501156377</v>
      </c>
      <c r="F57" s="22">
        <f t="shared" si="17"/>
        <v>259911.25</v>
      </c>
      <c r="G57" s="23">
        <f t="shared" si="18"/>
        <v>7765061.25</v>
      </c>
      <c r="H57" s="25">
        <f t="shared" si="12"/>
        <v>2848265</v>
      </c>
      <c r="I57" s="1">
        <v>0.75</v>
      </c>
      <c r="J57" s="135" t="s">
        <v>34</v>
      </c>
      <c r="K57" s="156">
        <v>10353415</v>
      </c>
      <c r="L57" s="156">
        <v>7505150</v>
      </c>
      <c r="M57" s="155">
        <f t="shared" si="13"/>
        <v>0.72489608501156377</v>
      </c>
      <c r="N57" s="156">
        <f t="shared" si="19"/>
        <v>2848265</v>
      </c>
      <c r="O57" s="156">
        <v>10218116</v>
      </c>
      <c r="P57" s="156">
        <v>7000135</v>
      </c>
      <c r="Q57" s="155">
        <f t="shared" si="14"/>
        <v>0.68507100526163534</v>
      </c>
      <c r="R57" s="156">
        <f t="shared" si="20"/>
        <v>3217981</v>
      </c>
      <c r="S57" s="156">
        <v>10781064</v>
      </c>
      <c r="T57" s="156">
        <v>6861788.5899999999</v>
      </c>
      <c r="U57" s="155">
        <f t="shared" si="15"/>
        <v>0.63646673371014217</v>
      </c>
      <c r="V57" s="156">
        <f t="shared" si="21"/>
        <v>3919275.41</v>
      </c>
      <c r="W57" s="156">
        <f>'FY 2009 Exp 01-06-10'!C11</f>
        <v>10829424</v>
      </c>
      <c r="X57" s="156">
        <f>SUM('FY 2009 Exp 01-06-10'!F11:N11)</f>
        <v>6973239.3600000003</v>
      </c>
      <c r="Y57" s="155">
        <f t="shared" si="22"/>
        <v>0.64391599774835673</v>
      </c>
      <c r="Z57" s="156">
        <f>'FY 2009 Exp 01-06-10'!D11</f>
        <v>11207054</v>
      </c>
      <c r="AA57" s="155">
        <f t="shared" si="23"/>
        <v>0.62221877042798224</v>
      </c>
      <c r="AB57" s="13">
        <f t="shared" si="24"/>
        <v>3856184.6399999997</v>
      </c>
      <c r="AC57" s="156">
        <f>'FY 2008 Exp 01-06-10'!C11</f>
        <v>10503495</v>
      </c>
      <c r="AD57" s="156">
        <f>SUM('FY 2008 Exp 01-06-10'!F11:N11)</f>
        <v>7069854.6399999987</v>
      </c>
      <c r="AE57" s="155">
        <f t="shared" si="25"/>
        <v>0.67309544489715079</v>
      </c>
      <c r="AF57" s="156">
        <f>'FY 2008 Exp 01-06-10'!D11</f>
        <v>11177385</v>
      </c>
      <c r="AG57" s="155">
        <f t="shared" si="26"/>
        <v>0.63251419182572655</v>
      </c>
      <c r="AH57" s="13">
        <f t="shared" si="27"/>
        <v>3433640.3600000013</v>
      </c>
    </row>
    <row r="58" spans="1:34" ht="15.75" customHeight="1">
      <c r="A58" s="218" t="s">
        <v>35</v>
      </c>
      <c r="B58" s="219"/>
      <c r="C58" s="11">
        <f t="shared" si="16"/>
        <v>45271679</v>
      </c>
      <c r="D58" s="11">
        <f t="shared" si="16"/>
        <v>33018251</v>
      </c>
      <c r="E58" s="12">
        <f t="shared" si="11"/>
        <v>0.72933568467827314</v>
      </c>
      <c r="F58" s="22">
        <f t="shared" si="17"/>
        <v>935508.25</v>
      </c>
      <c r="G58" s="23">
        <f t="shared" si="18"/>
        <v>33953759.25</v>
      </c>
      <c r="H58" s="25">
        <f>C58-D58</f>
        <v>12253428</v>
      </c>
      <c r="I58" s="1">
        <v>0.75</v>
      </c>
      <c r="J58" s="135" t="s">
        <v>35</v>
      </c>
      <c r="K58" s="156">
        <v>45271679</v>
      </c>
      <c r="L58" s="156">
        <v>33018251</v>
      </c>
      <c r="M58" s="155">
        <f t="shared" si="13"/>
        <v>0.72933568467827314</v>
      </c>
      <c r="N58" s="156">
        <f t="shared" si="19"/>
        <v>12253428</v>
      </c>
      <c r="O58" s="156">
        <v>45505343</v>
      </c>
      <c r="P58" s="156">
        <v>33556214</v>
      </c>
      <c r="Q58" s="155">
        <f t="shared" si="14"/>
        <v>0.73741261548121939</v>
      </c>
      <c r="R58" s="156">
        <f t="shared" si="20"/>
        <v>11949129</v>
      </c>
      <c r="S58" s="156">
        <v>45971504</v>
      </c>
      <c r="T58" s="156">
        <v>33909150.039999999</v>
      </c>
      <c r="U58" s="155">
        <f t="shared" si="15"/>
        <v>0.7376123704806351</v>
      </c>
      <c r="V58" s="156">
        <f t="shared" si="21"/>
        <v>12062353.960000001</v>
      </c>
      <c r="W58" s="156">
        <f>'FY 2009 Exp 01-06-10'!C12</f>
        <v>44763416</v>
      </c>
      <c r="X58" s="156">
        <f>SUM('FY 2009 Exp 01-06-10'!F12:N12)</f>
        <v>32122715.57</v>
      </c>
      <c r="Y58" s="155">
        <f t="shared" si="22"/>
        <v>0.71761090730877197</v>
      </c>
      <c r="Z58" s="156">
        <f>'FY 2009 Exp 01-06-10'!D12</f>
        <v>45148643</v>
      </c>
      <c r="AA58" s="155">
        <f t="shared" si="23"/>
        <v>0.71148795258364683</v>
      </c>
      <c r="AB58" s="13">
        <f t="shared" si="24"/>
        <v>12640700.43</v>
      </c>
      <c r="AC58" s="156">
        <f>'FY 2008 Exp 01-06-10'!C12</f>
        <v>44214975</v>
      </c>
      <c r="AD58" s="156">
        <f>SUM('FY 2008 Exp 01-06-10'!F12:N12)</f>
        <v>31608996.940000005</v>
      </c>
      <c r="AE58" s="155">
        <f t="shared" si="25"/>
        <v>0.71489347082068921</v>
      </c>
      <c r="AF58" s="156">
        <f>'FY 2008 Exp 01-06-10'!D12</f>
        <v>44791732</v>
      </c>
      <c r="AG58" s="155">
        <f t="shared" si="26"/>
        <v>0.70568820468920479</v>
      </c>
      <c r="AH58" s="13">
        <f t="shared" si="27"/>
        <v>12605978.059999995</v>
      </c>
    </row>
    <row r="59" spans="1:34" ht="15.75" customHeight="1" thickBot="1">
      <c r="A59" s="218" t="s">
        <v>36</v>
      </c>
      <c r="B59" s="219"/>
      <c r="C59" s="11">
        <f t="shared" si="16"/>
        <v>9085000</v>
      </c>
      <c r="D59" s="11">
        <f t="shared" si="16"/>
        <v>9085000</v>
      </c>
      <c r="E59" s="12">
        <f t="shared" si="11"/>
        <v>1</v>
      </c>
      <c r="F59" s="22">
        <f t="shared" si="17"/>
        <v>-2271250</v>
      </c>
      <c r="G59" s="23">
        <f t="shared" si="18"/>
        <v>6813750</v>
      </c>
      <c r="H59" s="25">
        <f>C59-D59</f>
        <v>0</v>
      </c>
      <c r="I59" s="1">
        <v>0.75</v>
      </c>
      <c r="J59" s="135" t="s">
        <v>36</v>
      </c>
      <c r="K59" s="158">
        <v>9085000</v>
      </c>
      <c r="L59" s="158">
        <v>9085000</v>
      </c>
      <c r="M59" s="152">
        <f t="shared" si="13"/>
        <v>1</v>
      </c>
      <c r="N59" s="158">
        <f t="shared" si="19"/>
        <v>0</v>
      </c>
      <c r="O59" s="158">
        <v>9355000</v>
      </c>
      <c r="P59" s="158">
        <v>9430590</v>
      </c>
      <c r="Q59" s="152">
        <f t="shared" si="14"/>
        <v>1.0080801710315339</v>
      </c>
      <c r="R59" s="158">
        <f t="shared" si="20"/>
        <v>-75590</v>
      </c>
      <c r="S59" s="158">
        <v>8370000</v>
      </c>
      <c r="T59" s="158">
        <v>8420000</v>
      </c>
      <c r="U59" s="152">
        <f t="shared" si="15"/>
        <v>1.005973715651135</v>
      </c>
      <c r="V59" s="158">
        <f t="shared" si="21"/>
        <v>-50000</v>
      </c>
      <c r="W59" s="158">
        <f>'FY 2009 Exp 01-06-10'!C14</f>
        <v>8707782</v>
      </c>
      <c r="X59" s="158">
        <f>SUM('FY 2009 Exp 01-06-10'!F14:N14)</f>
        <v>8762345</v>
      </c>
      <c r="Y59" s="152">
        <f t="shared" si="22"/>
        <v>1.0062660043625347</v>
      </c>
      <c r="Z59" s="158">
        <f>'FY 2009 Exp 01-06-10'!D14</f>
        <v>13464262</v>
      </c>
      <c r="AA59" s="152">
        <f t="shared" si="23"/>
        <v>0.65078539024270321</v>
      </c>
      <c r="AB59" s="159">
        <f t="shared" si="24"/>
        <v>-54563</v>
      </c>
      <c r="AC59" s="158">
        <f>'FY 2008 Exp 01-06-10'!C14</f>
        <v>9046853</v>
      </c>
      <c r="AD59" s="158">
        <f>SUM('FY 2008 Exp 01-06-10'!F14:N14)</f>
        <v>8086390</v>
      </c>
      <c r="AE59" s="152">
        <f t="shared" si="25"/>
        <v>0.89383457429893021</v>
      </c>
      <c r="AF59" s="158">
        <f>'FY 2008 Exp 01-06-10'!D14</f>
        <v>19089565</v>
      </c>
      <c r="AG59" s="152">
        <f t="shared" si="26"/>
        <v>0.42360263316633984</v>
      </c>
      <c r="AH59" s="159">
        <f t="shared" si="27"/>
        <v>960463</v>
      </c>
    </row>
    <row r="60" spans="1:34" ht="15.75" customHeight="1" thickBot="1">
      <c r="A60" s="220" t="s">
        <v>28</v>
      </c>
      <c r="B60" s="221"/>
      <c r="C60" s="20">
        <f>SUM(C49:C59)</f>
        <v>146765759</v>
      </c>
      <c r="D60" s="20">
        <f>SUM(D49:D59)</f>
        <v>103991995</v>
      </c>
      <c r="E60" s="12">
        <f t="shared" si="11"/>
        <v>0.70855760709144699</v>
      </c>
      <c r="F60" s="175">
        <f t="shared" si="17"/>
        <v>6082324.25</v>
      </c>
      <c r="G60" s="23">
        <f t="shared" si="18"/>
        <v>110074319.25</v>
      </c>
      <c r="J60" s="107"/>
      <c r="K60" s="157">
        <f>SUM(K49:K59)</f>
        <v>146765759</v>
      </c>
      <c r="L60" s="157">
        <f>SUM(L49:L59)</f>
        <v>103991995</v>
      </c>
      <c r="M60" s="153">
        <f t="shared" si="13"/>
        <v>0.70855760709144699</v>
      </c>
      <c r="N60" s="157">
        <f>SUM(N49:N59)</f>
        <v>42773764</v>
      </c>
      <c r="O60" s="157">
        <f>SUM(O49:O59)</f>
        <v>153678623</v>
      </c>
      <c r="P60" s="157">
        <f>SUM(P49:P59)</f>
        <v>108866224</v>
      </c>
      <c r="Q60" s="153">
        <f t="shared" si="14"/>
        <v>0.70840187057115944</v>
      </c>
      <c r="R60" s="157">
        <f>SUM(R49:R59)</f>
        <v>44812399</v>
      </c>
      <c r="S60" s="157">
        <f>SUM(S49:S59)</f>
        <v>152858941</v>
      </c>
      <c r="T60" s="157">
        <f>SUM(T49:T59)</f>
        <v>105143099.74000001</v>
      </c>
      <c r="U60" s="153">
        <f t="shared" si="15"/>
        <v>0.68784396288601801</v>
      </c>
      <c r="V60" s="157">
        <f>SUM(V49:V59)</f>
        <v>47715841.260000005</v>
      </c>
      <c r="W60" s="157">
        <f t="shared" ref="W60:AH60" si="28">SUM(W49:W59)</f>
        <v>150486607</v>
      </c>
      <c r="X60" s="157">
        <f t="shared" si="28"/>
        <v>101801602.80000001</v>
      </c>
      <c r="Y60" s="153">
        <f t="shared" si="22"/>
        <v>0.67648281019453116</v>
      </c>
      <c r="Z60" s="157">
        <f t="shared" si="28"/>
        <v>154788048</v>
      </c>
      <c r="AA60" s="153">
        <f t="shared" si="23"/>
        <v>0.65768387233618975</v>
      </c>
      <c r="AB60" s="157">
        <f t="shared" si="28"/>
        <v>48685004.199999996</v>
      </c>
      <c r="AC60" s="157">
        <f t="shared" si="28"/>
        <v>145532969</v>
      </c>
      <c r="AD60" s="157">
        <f t="shared" si="28"/>
        <v>97427775.030000001</v>
      </c>
      <c r="AE60" s="153">
        <f t="shared" si="25"/>
        <v>0.66945500871352392</v>
      </c>
      <c r="AF60" s="157">
        <f t="shared" si="28"/>
        <v>155602576</v>
      </c>
      <c r="AG60" s="153">
        <f t="shared" si="26"/>
        <v>0.62613214725956723</v>
      </c>
      <c r="AH60" s="157">
        <f t="shared" si="28"/>
        <v>48105193.969999991</v>
      </c>
    </row>
    <row r="61" spans="1:34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4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</sheetData>
  <mergeCells count="26">
    <mergeCell ref="A50:B50"/>
    <mergeCell ref="A51:B51"/>
    <mergeCell ref="A52:B52"/>
    <mergeCell ref="A59:B59"/>
    <mergeCell ref="A60:B60"/>
    <mergeCell ref="A53:B53"/>
    <mergeCell ref="A54:B54"/>
    <mergeCell ref="A55:B55"/>
    <mergeCell ref="A56:B56"/>
    <mergeCell ref="A57:B57"/>
    <mergeCell ref="A58:B58"/>
    <mergeCell ref="A23:B23"/>
    <mergeCell ref="A24:B24"/>
    <mergeCell ref="A46:F46"/>
    <mergeCell ref="A48:B48"/>
    <mergeCell ref="A49:B49"/>
    <mergeCell ref="A18:B18"/>
    <mergeCell ref="A19:B19"/>
    <mergeCell ref="A20:B20"/>
    <mergeCell ref="A21:B21"/>
    <mergeCell ref="A22:B22"/>
    <mergeCell ref="B3:D3"/>
    <mergeCell ref="A13:F13"/>
    <mergeCell ref="A14:F14"/>
    <mergeCell ref="A16:B16"/>
    <mergeCell ref="A17:B17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U37" zoomScaleNormal="100" workbookViewId="0">
      <selection activeCell="L44" sqref="L44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0.7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14" style="2" customWidth="1"/>
    <col min="28" max="28" width="13.375" style="2" customWidth="1"/>
    <col min="29" max="29" width="11.875" style="2" customWidth="1"/>
    <col min="30" max="30" width="12.75" style="2" customWidth="1"/>
    <col min="31" max="31" width="9" style="2"/>
    <col min="32" max="32" width="14.125" style="2" customWidth="1"/>
    <col min="33" max="33" width="9" style="2"/>
    <col min="34" max="34" width="13.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56</v>
      </c>
    </row>
    <row r="3" spans="1:29" ht="15.95" customHeight="1">
      <c r="B3" s="202" t="s">
        <v>43</v>
      </c>
      <c r="C3" s="202"/>
      <c r="D3" s="202"/>
      <c r="E3" s="3"/>
      <c r="F3" s="3" t="s">
        <v>57</v>
      </c>
    </row>
    <row r="4" spans="1:29" ht="15.95" customHeight="1">
      <c r="E4" s="3"/>
      <c r="F4" s="3" t="s">
        <v>58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38</v>
      </c>
      <c r="B8" s="7" t="s">
        <v>39</v>
      </c>
    </row>
    <row r="9" spans="1:29" ht="19.5" customHeight="1">
      <c r="A9" s="6" t="s">
        <v>40</v>
      </c>
      <c r="B9" s="7" t="s">
        <v>98</v>
      </c>
    </row>
    <row r="10" spans="1:29" ht="19.5" customHeight="1">
      <c r="A10" s="6" t="s">
        <v>41</v>
      </c>
      <c r="B10" s="8">
        <v>41014</v>
      </c>
    </row>
    <row r="11" spans="1:29" ht="19.5" customHeight="1">
      <c r="A11" s="6" t="s">
        <v>42</v>
      </c>
      <c r="B11" s="7" t="s">
        <v>191</v>
      </c>
    </row>
    <row r="12" spans="1:29" ht="19.5" customHeight="1">
      <c r="A12" s="6"/>
      <c r="B12" s="7"/>
    </row>
    <row r="13" spans="1:29" ht="24.75" customHeight="1">
      <c r="A13" s="212"/>
      <c r="B13" s="212"/>
      <c r="C13" s="212"/>
      <c r="D13" s="212"/>
      <c r="E13" s="212"/>
      <c r="F13" s="212"/>
    </row>
    <row r="14" spans="1:29" ht="31.5" customHeight="1">
      <c r="A14" s="213" t="s">
        <v>29</v>
      </c>
      <c r="B14" s="213"/>
      <c r="C14" s="213"/>
      <c r="D14" s="213"/>
      <c r="E14" s="213"/>
      <c r="F14" s="213"/>
    </row>
    <row r="15" spans="1:29">
      <c r="K15" s="134"/>
      <c r="L15" s="134"/>
      <c r="M15" s="134"/>
      <c r="N15" s="134"/>
    </row>
    <row r="16" spans="1:29" ht="38.25">
      <c r="A16" s="214"/>
      <c r="B16" s="214"/>
      <c r="C16" s="9" t="s">
        <v>183</v>
      </c>
      <c r="D16" s="9" t="s">
        <v>192</v>
      </c>
      <c r="E16" s="9" t="s">
        <v>25</v>
      </c>
      <c r="F16" s="9" t="s">
        <v>54</v>
      </c>
      <c r="G16" s="10">
        <v>0.5</v>
      </c>
      <c r="H16" s="2" t="s">
        <v>44</v>
      </c>
      <c r="I16" s="10">
        <v>0.5</v>
      </c>
      <c r="K16" s="9" t="s">
        <v>183</v>
      </c>
      <c r="L16" s="9" t="s">
        <v>184</v>
      </c>
      <c r="M16" s="9">
        <v>2012</v>
      </c>
      <c r="N16" s="9" t="s">
        <v>143</v>
      </c>
      <c r="O16" s="9" t="s">
        <v>195</v>
      </c>
      <c r="P16" s="9" t="s">
        <v>187</v>
      </c>
      <c r="Q16" s="9">
        <v>2011</v>
      </c>
      <c r="R16" s="9" t="s">
        <v>99</v>
      </c>
      <c r="S16" s="9" t="s">
        <v>194</v>
      </c>
      <c r="T16" s="9" t="s">
        <v>142</v>
      </c>
      <c r="U16" s="9">
        <v>2010</v>
      </c>
      <c r="V16" s="9" t="s">
        <v>1</v>
      </c>
      <c r="W16" s="9" t="s">
        <v>125</v>
      </c>
      <c r="X16" s="9" t="s">
        <v>113</v>
      </c>
      <c r="Y16" s="9">
        <v>2009</v>
      </c>
      <c r="Z16" s="9" t="s">
        <v>111</v>
      </c>
      <c r="AA16" s="9" t="s">
        <v>126</v>
      </c>
      <c r="AB16" s="9" t="s">
        <v>114</v>
      </c>
      <c r="AC16" s="9">
        <v>2008</v>
      </c>
    </row>
    <row r="17" spans="1:29" ht="15.75" customHeight="1">
      <c r="A17" s="215" t="s">
        <v>26</v>
      </c>
      <c r="B17" s="215"/>
      <c r="C17" s="11">
        <f>K17</f>
        <v>124011587</v>
      </c>
      <c r="D17" s="11">
        <f>L17</f>
        <v>122641193</v>
      </c>
      <c r="E17" s="12">
        <f t="shared" ref="E17:E24" si="0">(D17/C17)</f>
        <v>0.98894946808478468</v>
      </c>
      <c r="F17" s="29">
        <f t="shared" ref="F17:F23" si="1">D17-G17</f>
        <v>60635399.5</v>
      </c>
      <c r="G17" s="14">
        <f>C17*0.5</f>
        <v>62005793.5</v>
      </c>
      <c r="H17" s="15">
        <f t="shared" ref="H17:H23" si="2">C17-D17</f>
        <v>1370394</v>
      </c>
      <c r="I17" s="10">
        <v>0.5</v>
      </c>
      <c r="J17" s="21" t="str">
        <f>A17</f>
        <v>Current / Delinquent Taxes</v>
      </c>
      <c r="K17" s="165">
        <v>124011587</v>
      </c>
      <c r="L17" s="165">
        <v>122641193</v>
      </c>
      <c r="M17" s="171">
        <f t="shared" ref="M17:M24" si="3">L17/K17</f>
        <v>0.98894946808478468</v>
      </c>
      <c r="N17" s="161">
        <v>130863490</v>
      </c>
      <c r="O17" s="161">
        <v>127900195</v>
      </c>
      <c r="P17" s="161">
        <v>131364776</v>
      </c>
      <c r="Q17" s="12">
        <f>O17/P17</f>
        <v>0.97362625579325768</v>
      </c>
      <c r="R17" s="11">
        <v>130450730</v>
      </c>
      <c r="S17" s="11">
        <v>125779425.78</v>
      </c>
      <c r="T17" s="166">
        <v>130271144</v>
      </c>
      <c r="U17" s="12">
        <f t="shared" ref="U17:U24" si="4">(S17/T17)</f>
        <v>0.96552023662277808</v>
      </c>
      <c r="V17" s="11">
        <f>'FY 2009 Rev 01-04-10'!E3</f>
        <v>119221816</v>
      </c>
      <c r="W17" s="11">
        <f>SUM('FY 2009 Rev 01-04-10'!F3:K3)</f>
        <v>115778667.43000001</v>
      </c>
      <c r="X17" s="11">
        <v>119981009</v>
      </c>
      <c r="Y17" s="12">
        <f t="shared" ref="Y17:Y24" si="5">W17/X17</f>
        <v>0.96497494390966498</v>
      </c>
      <c r="Z17" s="11">
        <f>'FY 2008 Rev 01-04-10'!E3</f>
        <v>106565989</v>
      </c>
      <c r="AA17" s="11">
        <f>SUM('FY 2008 Rev 01-04-10'!F3:K3)</f>
        <v>112515307.53000002</v>
      </c>
      <c r="AB17" s="11">
        <f>'FY 2008 Rev 01-04-10'!D3</f>
        <v>117399101.34999999</v>
      </c>
      <c r="AC17" s="12">
        <f t="shared" ref="AC17:AC24" si="6">AA17/AB17</f>
        <v>0.95840007492527557</v>
      </c>
    </row>
    <row r="18" spans="1:29" ht="15.75" customHeight="1">
      <c r="A18" s="215" t="s">
        <v>102</v>
      </c>
      <c r="B18" s="215"/>
      <c r="C18" s="11">
        <f t="shared" ref="C18:D23" si="7">K18</f>
        <v>4000</v>
      </c>
      <c r="D18" s="11">
        <f t="shared" si="7"/>
        <v>3500</v>
      </c>
      <c r="E18" s="12">
        <f>(D18/C18)</f>
        <v>0.875</v>
      </c>
      <c r="F18" s="22">
        <f>D18-G18</f>
        <v>1500</v>
      </c>
      <c r="G18" s="14">
        <f t="shared" ref="G18:G24" si="8">C18*0.5</f>
        <v>2000</v>
      </c>
      <c r="H18" s="15">
        <f t="shared" si="2"/>
        <v>500</v>
      </c>
      <c r="I18" s="10">
        <v>0.5</v>
      </c>
      <c r="J18" s="21" t="str">
        <f t="shared" ref="J18:J23" si="9">A18</f>
        <v>License / Permits</v>
      </c>
      <c r="K18" s="165">
        <v>4000</v>
      </c>
      <c r="L18" s="165">
        <v>3500</v>
      </c>
      <c r="M18" s="171">
        <f t="shared" si="3"/>
        <v>0.875</v>
      </c>
      <c r="N18" s="161">
        <v>4000</v>
      </c>
      <c r="O18" s="161">
        <v>3500</v>
      </c>
      <c r="P18" s="161">
        <v>6000</v>
      </c>
      <c r="Q18" s="12">
        <f t="shared" ref="Q18:Q24" si="10">O18/P18</f>
        <v>0.58333333333333337</v>
      </c>
      <c r="R18" s="16">
        <f>C18</f>
        <v>4000</v>
      </c>
      <c r="S18" s="28">
        <v>1500</v>
      </c>
      <c r="T18" s="165">
        <v>2500</v>
      </c>
      <c r="U18" s="12">
        <f t="shared" si="4"/>
        <v>0.6</v>
      </c>
      <c r="V18" s="28">
        <f>'FY 2009 Rev 01-04-10'!E6</f>
        <v>4000</v>
      </c>
      <c r="W18" s="28">
        <f>SUM('FY 2009 Rev 01-04-10'!F6:K6)</f>
        <v>2500</v>
      </c>
      <c r="X18" s="28">
        <f>'FY 2009 Rev 01-04-10'!D6</f>
        <v>4000</v>
      </c>
      <c r="Y18" s="12">
        <f t="shared" si="5"/>
        <v>0.625</v>
      </c>
      <c r="Z18" s="28">
        <f>'FY 2008 Rev 01-04-10'!E6</f>
        <v>4200</v>
      </c>
      <c r="AA18" s="28">
        <f>SUM('FY 2008 Rev 01-04-10'!F6:K6)</f>
        <v>2500</v>
      </c>
      <c r="AB18" s="28">
        <f>'FY 2008 Rev 01-04-10'!D6</f>
        <v>4000</v>
      </c>
      <c r="AC18" s="12">
        <f t="shared" si="6"/>
        <v>0.625</v>
      </c>
    </row>
    <row r="19" spans="1:29" ht="15.75" customHeight="1">
      <c r="A19" s="215" t="s">
        <v>55</v>
      </c>
      <c r="B19" s="215"/>
      <c r="C19" s="11">
        <f t="shared" si="7"/>
        <v>3186800</v>
      </c>
      <c r="D19" s="11">
        <f t="shared" si="7"/>
        <v>2077042</v>
      </c>
      <c r="E19" s="12">
        <f t="shared" si="0"/>
        <v>0.65176415212752603</v>
      </c>
      <c r="F19" s="22">
        <f t="shared" si="1"/>
        <v>483642</v>
      </c>
      <c r="G19" s="14">
        <f t="shared" si="8"/>
        <v>1593400</v>
      </c>
      <c r="H19" s="27">
        <f t="shared" si="2"/>
        <v>1109758</v>
      </c>
      <c r="I19" s="10">
        <v>0.5</v>
      </c>
      <c r="J19" s="21" t="str">
        <f t="shared" si="9"/>
        <v>Intergovernmental Revenue</v>
      </c>
      <c r="K19" s="165">
        <v>3186800</v>
      </c>
      <c r="L19" s="165">
        <f>18400+747125+804697+506820</f>
        <v>2077042</v>
      </c>
      <c r="M19" s="171">
        <f t="shared" si="3"/>
        <v>0.65176415212752603</v>
      </c>
      <c r="N19" s="161">
        <v>3312377</v>
      </c>
      <c r="O19" s="161">
        <f>6400+729327+584620</f>
        <v>1320347</v>
      </c>
      <c r="P19" s="161">
        <v>3356039</v>
      </c>
      <c r="Q19" s="12">
        <f t="shared" si="10"/>
        <v>0.39342421229312291</v>
      </c>
      <c r="R19" s="16">
        <v>3547135</v>
      </c>
      <c r="S19" s="28">
        <v>924045.65999999992</v>
      </c>
      <c r="T19" s="165">
        <v>3908666</v>
      </c>
      <c r="U19" s="12">
        <f t="shared" si="4"/>
        <v>0.23640947064804205</v>
      </c>
      <c r="V19" s="28">
        <f>'FY 2009 Rev 01-04-10'!E11</f>
        <v>3678780</v>
      </c>
      <c r="W19" s="28">
        <f>SUM('FY 2009 Rev 01-04-10'!F11:K11)</f>
        <v>1118300.8699999999</v>
      </c>
      <c r="X19" s="28">
        <f>'FY 2009 Rev 01-04-10'!D11</f>
        <v>3992954.02</v>
      </c>
      <c r="Y19" s="12">
        <f t="shared" si="5"/>
        <v>0.28006855686257059</v>
      </c>
      <c r="Z19" s="28">
        <f>'FY 2008 Rev 01-04-10'!E11</f>
        <v>3079080</v>
      </c>
      <c r="AA19" s="28">
        <f>SUM('FY 2008 Rev 01-04-10'!F11:K11)</f>
        <v>1231502.01</v>
      </c>
      <c r="AB19" s="28">
        <f>'FY 2008 Rev 01-04-10'!D11</f>
        <v>3979230.29</v>
      </c>
      <c r="AC19" s="12">
        <f t="shared" si="6"/>
        <v>0.30948246777645028</v>
      </c>
    </row>
    <row r="20" spans="1:29" ht="15.75" customHeight="1">
      <c r="A20" s="215" t="s">
        <v>2</v>
      </c>
      <c r="B20" s="215"/>
      <c r="C20" s="11">
        <f t="shared" si="7"/>
        <v>16144661</v>
      </c>
      <c r="D20" s="11">
        <f t="shared" si="7"/>
        <v>8666469</v>
      </c>
      <c r="E20" s="12">
        <f t="shared" si="0"/>
        <v>0.53680092756360753</v>
      </c>
      <c r="F20" s="22">
        <f t="shared" si="1"/>
        <v>594138.5</v>
      </c>
      <c r="G20" s="14">
        <f t="shared" si="8"/>
        <v>8072330.5</v>
      </c>
      <c r="H20" s="27">
        <f t="shared" si="2"/>
        <v>7478192</v>
      </c>
      <c r="I20" s="10">
        <v>0.5</v>
      </c>
      <c r="J20" s="21" t="str">
        <f t="shared" si="9"/>
        <v>Fees/Charges for Services</v>
      </c>
      <c r="K20" s="165">
        <v>16144661</v>
      </c>
      <c r="L20" s="165">
        <f>3311961+2232664+3006913+15720+99211</f>
        <v>8666469</v>
      </c>
      <c r="M20" s="171">
        <f t="shared" si="3"/>
        <v>0.53680092756360753</v>
      </c>
      <c r="N20" s="161">
        <v>15205012</v>
      </c>
      <c r="O20" s="161">
        <f>3019962+2345579+2778215+17588+80843</f>
        <v>8242187</v>
      </c>
      <c r="P20" s="161">
        <v>15750927</v>
      </c>
      <c r="Q20" s="12">
        <f t="shared" si="10"/>
        <v>0.52328266139510393</v>
      </c>
      <c r="R20" s="16">
        <v>16957104</v>
      </c>
      <c r="S20" s="28">
        <v>6279401.1600000001</v>
      </c>
      <c r="T20" s="165">
        <v>15217085</v>
      </c>
      <c r="U20" s="12">
        <f t="shared" si="4"/>
        <v>0.41265466809181917</v>
      </c>
      <c r="V20" s="28">
        <f>'FY 2009 Rev 01-04-10'!E18</f>
        <v>19143500</v>
      </c>
      <c r="W20" s="28">
        <f>SUM('FY 2009 Rev 01-04-10'!F18:K18)</f>
        <v>7820701.9600000009</v>
      </c>
      <c r="X20" s="28">
        <f>'FY 2009 Rev 01-04-10'!D18</f>
        <v>15850676.109999999</v>
      </c>
      <c r="Y20" s="12">
        <f t="shared" si="5"/>
        <v>0.49339863522074084</v>
      </c>
      <c r="Z20" s="28">
        <f>'FY 2008 Rev 01-04-10'!E18</f>
        <v>16631625</v>
      </c>
      <c r="AA20" s="28">
        <f>SUM('FY 2008 Rev 01-04-10'!F18:K18)</f>
        <v>8448283.6899999995</v>
      </c>
      <c r="AB20" s="28">
        <f>'FY 2008 Rev 01-04-10'!D18</f>
        <v>15930660.34</v>
      </c>
      <c r="AC20" s="12">
        <f t="shared" si="6"/>
        <v>0.53031597621771898</v>
      </c>
    </row>
    <row r="21" spans="1:29" ht="15.75" customHeight="1">
      <c r="A21" s="215" t="s">
        <v>4</v>
      </c>
      <c r="B21" s="215"/>
      <c r="C21" s="11">
        <f t="shared" si="7"/>
        <v>1881000</v>
      </c>
      <c r="D21" s="11">
        <f t="shared" si="7"/>
        <v>1022129</v>
      </c>
      <c r="E21" s="12">
        <f t="shared" si="0"/>
        <v>0.54339659755449232</v>
      </c>
      <c r="F21" s="22">
        <f t="shared" si="1"/>
        <v>81629</v>
      </c>
      <c r="G21" s="14">
        <f t="shared" si="8"/>
        <v>940500</v>
      </c>
      <c r="H21" s="27">
        <f t="shared" si="2"/>
        <v>858871</v>
      </c>
      <c r="I21" s="10">
        <v>0.5</v>
      </c>
      <c r="J21" s="21" t="str">
        <f t="shared" si="9"/>
        <v>Fines</v>
      </c>
      <c r="K21" s="165">
        <v>1881000</v>
      </c>
      <c r="L21" s="165">
        <v>1022129</v>
      </c>
      <c r="M21" s="171">
        <f t="shared" si="3"/>
        <v>0.54339659755449232</v>
      </c>
      <c r="N21" s="161">
        <v>1748000</v>
      </c>
      <c r="O21" s="161">
        <v>961337</v>
      </c>
      <c r="P21" s="161">
        <v>1992671</v>
      </c>
      <c r="Q21" s="12">
        <f t="shared" si="10"/>
        <v>0.48243638814435497</v>
      </c>
      <c r="R21" s="16">
        <v>2301020</v>
      </c>
      <c r="S21" s="28">
        <v>699335.52</v>
      </c>
      <c r="T21" s="165">
        <v>1821451</v>
      </c>
      <c r="U21" s="12">
        <f t="shared" si="4"/>
        <v>0.38394418515787687</v>
      </c>
      <c r="V21" s="28">
        <f>'FY 2009 Rev 01-04-10'!E20</f>
        <v>2771000</v>
      </c>
      <c r="W21" s="28">
        <f>SUM('FY 2009 Rev 01-04-10'!F20:K20)</f>
        <v>1071708.48</v>
      </c>
      <c r="X21" s="28">
        <f>'FY 2009 Rev 01-04-10'!D20</f>
        <v>2270389.13</v>
      </c>
      <c r="Y21" s="12">
        <f t="shared" si="5"/>
        <v>0.47203735511189665</v>
      </c>
      <c r="Z21" s="28">
        <f>'FY 2008 Rev 01-04-10'!E20</f>
        <v>2967500</v>
      </c>
      <c r="AA21" s="28">
        <f>SUM('FY 2008 Rev 01-04-10'!F20:K20)</f>
        <v>1235771.03</v>
      </c>
      <c r="AB21" s="28">
        <f>'FY 2008 Rev 01-04-10'!D20</f>
        <v>2688475.7</v>
      </c>
      <c r="AC21" s="12">
        <f t="shared" si="6"/>
        <v>0.45965490035859352</v>
      </c>
    </row>
    <row r="22" spans="1:29" ht="15.75" customHeight="1">
      <c r="A22" s="215" t="s">
        <v>3</v>
      </c>
      <c r="B22" s="215"/>
      <c r="C22" s="11">
        <f t="shared" si="7"/>
        <v>2019600</v>
      </c>
      <c r="D22" s="11">
        <f t="shared" si="7"/>
        <v>623318</v>
      </c>
      <c r="E22" s="12">
        <f t="shared" si="0"/>
        <v>0.30863438304614776</v>
      </c>
      <c r="F22" s="22">
        <f t="shared" si="1"/>
        <v>-386482</v>
      </c>
      <c r="G22" s="14">
        <f t="shared" si="8"/>
        <v>1009800</v>
      </c>
      <c r="H22" s="27">
        <f t="shared" si="2"/>
        <v>1396282</v>
      </c>
      <c r="I22" s="10">
        <v>0.5</v>
      </c>
      <c r="J22" s="21" t="str">
        <f t="shared" si="9"/>
        <v>Investment Revenue</v>
      </c>
      <c r="K22" s="165">
        <v>2019600</v>
      </c>
      <c r="L22" s="165">
        <f>608633+14685</f>
        <v>623318</v>
      </c>
      <c r="M22" s="171">
        <f t="shared" si="3"/>
        <v>0.30863438304614776</v>
      </c>
      <c r="N22" s="161">
        <v>1119600</v>
      </c>
      <c r="O22" s="161">
        <f>679528+19753</f>
        <v>699281</v>
      </c>
      <c r="P22" s="161">
        <v>2040386</v>
      </c>
      <c r="Q22" s="12">
        <f t="shared" si="10"/>
        <v>0.34271995592990739</v>
      </c>
      <c r="R22" s="16">
        <v>3133290</v>
      </c>
      <c r="S22" s="28">
        <v>454566.44</v>
      </c>
      <c r="T22" s="165">
        <v>2192285</v>
      </c>
      <c r="U22" s="12">
        <f t="shared" si="4"/>
        <v>0.20734824167478225</v>
      </c>
      <c r="V22" s="28">
        <f>'FY 2009 Rev 01-04-10'!E23</f>
        <v>5168400</v>
      </c>
      <c r="W22" s="28">
        <f>SUM('FY 2009 Rev 01-04-10'!F23:K23)</f>
        <v>1650946.07</v>
      </c>
      <c r="X22" s="28">
        <v>3458264</v>
      </c>
      <c r="Y22" s="12">
        <f t="shared" si="5"/>
        <v>0.47739156698274049</v>
      </c>
      <c r="Z22" s="28">
        <f>'FY 2008 Rev 01-04-10'!E23</f>
        <v>6994800</v>
      </c>
      <c r="AA22" s="28">
        <f>SUM('FY 2008 Rev 01-04-10'!F23:K23)</f>
        <v>3218552.15</v>
      </c>
      <c r="AB22" s="28">
        <f>'FY 2008 Rev 01-04-10'!D23</f>
        <v>6575786.3600000003</v>
      </c>
      <c r="AC22" s="12">
        <f t="shared" si="6"/>
        <v>0.48945509689581823</v>
      </c>
    </row>
    <row r="23" spans="1:29" ht="15.75" customHeight="1" thickBot="1">
      <c r="A23" s="215" t="s">
        <v>27</v>
      </c>
      <c r="B23" s="215"/>
      <c r="C23" s="11">
        <f t="shared" si="7"/>
        <v>547000</v>
      </c>
      <c r="D23" s="11">
        <f t="shared" si="7"/>
        <v>350726</v>
      </c>
      <c r="E23" s="12">
        <f t="shared" si="0"/>
        <v>0.64118098720292505</v>
      </c>
      <c r="F23" s="22">
        <f t="shared" si="1"/>
        <v>77226</v>
      </c>
      <c r="G23" s="14">
        <f t="shared" si="8"/>
        <v>273500</v>
      </c>
      <c r="H23" s="27">
        <f t="shared" si="2"/>
        <v>196274</v>
      </c>
      <c r="I23" s="10">
        <v>0.5</v>
      </c>
      <c r="J23" s="21" t="str">
        <f t="shared" si="9"/>
        <v>Miscellaneous</v>
      </c>
      <c r="K23" s="167">
        <v>547000</v>
      </c>
      <c r="L23" s="167">
        <f>5116+295012+18208+32390</f>
        <v>350726</v>
      </c>
      <c r="M23" s="174">
        <f t="shared" si="3"/>
        <v>0.64118098720292505</v>
      </c>
      <c r="N23" s="162">
        <v>463840</v>
      </c>
      <c r="O23" s="162">
        <f>443841+15633+2500</f>
        <v>461974</v>
      </c>
      <c r="P23" s="162">
        <f>735348+26986</f>
        <v>762334</v>
      </c>
      <c r="Q23" s="152">
        <f t="shared" si="10"/>
        <v>0.60599947004856136</v>
      </c>
      <c r="R23" s="117">
        <f>519135+45000</f>
        <v>564135</v>
      </c>
      <c r="S23" s="118">
        <v>346466.67</v>
      </c>
      <c r="T23" s="167">
        <f>574051+220348</f>
        <v>794399</v>
      </c>
      <c r="U23" s="152">
        <f t="shared" si="4"/>
        <v>0.43613684055493523</v>
      </c>
      <c r="V23" s="118">
        <f>'FY 2009 Rev 01-04-10'!E25+'FY 2009 Rev 01-04-10'!E29+'FY 2009 Rev 01-04-10'!E32</f>
        <v>499810</v>
      </c>
      <c r="W23" s="118">
        <f>SUM('FY 2009 Rev 01-04-10'!F25:K25,'FY 2009 Rev 01-04-10'!F29:K29,'FY 2009 Rev 01-04-10'!F32:K32)</f>
        <v>341593.39</v>
      </c>
      <c r="X23" s="118">
        <f>797689+241752</f>
        <v>1039441</v>
      </c>
      <c r="Y23" s="152">
        <f t="shared" si="5"/>
        <v>0.32863182229679222</v>
      </c>
      <c r="Z23" s="118">
        <f>'FY 2008 Rev 01-04-10'!E25+'FY 2008 Rev 01-04-10'!E29+'FY 2008 Rev 01-04-10'!E32</f>
        <v>500000</v>
      </c>
      <c r="AA23" s="118">
        <f>SUM('FY 2008 Rev 01-04-10'!F25:K25,'FY 2008 Rev 01-04-10'!F29:K29,'FY 2008 Rev 01-04-10'!F32:K32)</f>
        <v>253722.50000000003</v>
      </c>
      <c r="AB23" s="118">
        <f>'FY 2008 Rev 01-04-10'!D25+'FY 2008 Rev 01-04-10'!D29+'FY 2008 Rev 01-04-10'!D32</f>
        <v>2058982.75</v>
      </c>
      <c r="AC23" s="152">
        <f t="shared" si="6"/>
        <v>0.12322711300033963</v>
      </c>
    </row>
    <row r="24" spans="1:29" ht="15.75" customHeight="1" thickBot="1">
      <c r="A24" s="216" t="s">
        <v>28</v>
      </c>
      <c r="B24" s="216"/>
      <c r="C24" s="11">
        <f>SUM(C17:C23)</f>
        <v>147794648</v>
      </c>
      <c r="D24" s="11">
        <f>SUM(D17:D23)</f>
        <v>135384377</v>
      </c>
      <c r="E24" s="12">
        <f t="shared" si="0"/>
        <v>0.9160303084858662</v>
      </c>
      <c r="F24" s="17">
        <f>SUM(F17:F23)</f>
        <v>61487053</v>
      </c>
      <c r="G24" s="14">
        <f t="shared" si="8"/>
        <v>73897324</v>
      </c>
      <c r="H24" s="27"/>
      <c r="J24" s="21"/>
      <c r="K24" s="172">
        <f>SUM(K17:K23)</f>
        <v>147794648</v>
      </c>
      <c r="L24" s="172">
        <f>SUM(L17:L23)</f>
        <v>135384377</v>
      </c>
      <c r="M24" s="173">
        <f t="shared" si="3"/>
        <v>0.9160303084858662</v>
      </c>
      <c r="N24" s="164">
        <f>SUM(N17:N23)</f>
        <v>152716319</v>
      </c>
      <c r="O24" s="160">
        <f>SUM(O17:O23)</f>
        <v>139588821</v>
      </c>
      <c r="P24" s="160">
        <f>SUM(P17:P23)</f>
        <v>155273133</v>
      </c>
      <c r="Q24" s="153">
        <f t="shared" si="10"/>
        <v>0.89898888689262169</v>
      </c>
      <c r="R24" s="116">
        <f>SUM(R17:R23)</f>
        <v>156957414</v>
      </c>
      <c r="S24" s="116">
        <f>SUM(S17:S23)</f>
        <v>134484741.22999999</v>
      </c>
      <c r="T24" s="116">
        <f>SUM(T17:T23)</f>
        <v>154207530</v>
      </c>
      <c r="U24" s="153">
        <f t="shared" si="4"/>
        <v>0.87210229766341496</v>
      </c>
      <c r="V24" s="116">
        <f>SUM(V17:V23)</f>
        <v>150487306</v>
      </c>
      <c r="W24" s="116">
        <f>SUM(W17:W23)</f>
        <v>127784418.20000002</v>
      </c>
      <c r="X24" s="116">
        <f>SUM(X17:X23)</f>
        <v>146596733.25999999</v>
      </c>
      <c r="Y24" s="153">
        <f t="shared" si="5"/>
        <v>0.87167302680179815</v>
      </c>
      <c r="Z24" s="116">
        <f>SUM(Z17:Z23)</f>
        <v>136743194</v>
      </c>
      <c r="AA24" s="116">
        <f>SUM(AA17:AA23)</f>
        <v>126905638.91000003</v>
      </c>
      <c r="AB24" s="116">
        <f>SUM(AB17:AB23)</f>
        <v>148636236.78999999</v>
      </c>
      <c r="AC24" s="153">
        <f t="shared" si="6"/>
        <v>0.85380013414426026</v>
      </c>
    </row>
    <row r="25" spans="1:29" ht="22.5" customHeight="1" thickTop="1">
      <c r="J25" s="21"/>
      <c r="K25" s="26"/>
    </row>
    <row r="26" spans="1:29">
      <c r="J26" s="21"/>
      <c r="K26" s="26"/>
    </row>
    <row r="31" spans="1:29">
      <c r="H31" s="15"/>
    </row>
    <row r="32" spans="1:29">
      <c r="H32" s="14"/>
    </row>
    <row r="40" spans="1:34">
      <c r="J40" s="135"/>
      <c r="K40" s="135"/>
    </row>
    <row r="41" spans="1:34">
      <c r="J41" s="135"/>
      <c r="K41" s="135"/>
    </row>
    <row r="42" spans="1:34">
      <c r="J42" s="135"/>
      <c r="K42" s="135"/>
    </row>
    <row r="43" spans="1:34">
      <c r="J43" s="135"/>
      <c r="K43" s="135"/>
    </row>
    <row r="44" spans="1:34">
      <c r="J44" s="135"/>
      <c r="K44" s="135"/>
    </row>
    <row r="45" spans="1:34">
      <c r="J45" s="135"/>
      <c r="K45" s="135"/>
    </row>
    <row r="46" spans="1:34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4" ht="12" customHeight="1">
      <c r="B47" s="18"/>
      <c r="C47" s="18"/>
      <c r="D47" s="18"/>
      <c r="E47" s="18"/>
      <c r="J47" s="135"/>
      <c r="K47" s="135"/>
    </row>
    <row r="48" spans="1:34" ht="36" customHeight="1">
      <c r="A48" s="217"/>
      <c r="B48" s="217"/>
      <c r="C48" s="19" t="s">
        <v>183</v>
      </c>
      <c r="D48" s="19" t="s">
        <v>193</v>
      </c>
      <c r="E48" s="19" t="s">
        <v>25</v>
      </c>
      <c r="F48" s="9" t="s">
        <v>54</v>
      </c>
      <c r="G48" s="10">
        <v>0.5</v>
      </c>
      <c r="H48" s="2" t="s">
        <v>45</v>
      </c>
      <c r="K48" s="154" t="s">
        <v>183</v>
      </c>
      <c r="L48" s="150" t="s">
        <v>196</v>
      </c>
      <c r="M48" s="151">
        <v>2012</v>
      </c>
      <c r="N48" s="150" t="s">
        <v>189</v>
      </c>
      <c r="O48" s="154" t="s">
        <v>143</v>
      </c>
      <c r="P48" s="150" t="s">
        <v>197</v>
      </c>
      <c r="Q48" s="151">
        <v>2011</v>
      </c>
      <c r="R48" s="150" t="s">
        <v>147</v>
      </c>
      <c r="S48" s="154" t="s">
        <v>99</v>
      </c>
      <c r="T48" s="150" t="s">
        <v>198</v>
      </c>
      <c r="U48" s="151">
        <v>2010</v>
      </c>
      <c r="V48" s="150" t="s">
        <v>116</v>
      </c>
      <c r="W48" s="150" t="s">
        <v>1</v>
      </c>
      <c r="X48" s="150" t="s">
        <v>127</v>
      </c>
      <c r="Y48" s="151">
        <v>2009</v>
      </c>
      <c r="Z48" s="150" t="s">
        <v>118</v>
      </c>
      <c r="AA48" s="150">
        <v>2009</v>
      </c>
      <c r="AB48" s="150" t="s">
        <v>119</v>
      </c>
      <c r="AC48" s="150" t="s">
        <v>111</v>
      </c>
      <c r="AD48" s="150" t="s">
        <v>199</v>
      </c>
      <c r="AE48" s="151">
        <v>2008</v>
      </c>
      <c r="AF48" s="150" t="s">
        <v>121</v>
      </c>
      <c r="AG48" s="150">
        <v>2008</v>
      </c>
      <c r="AH48" s="150" t="s">
        <v>122</v>
      </c>
    </row>
    <row r="49" spans="1:34" ht="15.75" customHeight="1">
      <c r="A49" s="218" t="s">
        <v>30</v>
      </c>
      <c r="B49" s="219"/>
      <c r="C49" s="11">
        <f>K49</f>
        <v>260248</v>
      </c>
      <c r="D49" s="11">
        <f>L49</f>
        <v>132819</v>
      </c>
      <c r="E49" s="12">
        <f t="shared" ref="E49:E60" si="11">(D49/C49)</f>
        <v>0.51035550705480925</v>
      </c>
      <c r="F49" s="22">
        <f>+G49-D49</f>
        <v>-2695</v>
      </c>
      <c r="G49" s="23">
        <f>C49*0.5</f>
        <v>130124</v>
      </c>
      <c r="H49" s="24">
        <f t="shared" ref="H49:H57" si="12">C49-D49</f>
        <v>127429</v>
      </c>
      <c r="I49" s="1">
        <v>0.5</v>
      </c>
      <c r="J49" s="135" t="s">
        <v>30</v>
      </c>
      <c r="K49" s="13">
        <v>260248</v>
      </c>
      <c r="L49" s="13">
        <v>132819</v>
      </c>
      <c r="M49" s="155">
        <f t="shared" ref="M49:M60" si="13">(L49/K49)</f>
        <v>0.51035550705480925</v>
      </c>
      <c r="N49" s="13">
        <f>K49-L49</f>
        <v>127429</v>
      </c>
      <c r="O49" s="13">
        <v>315395</v>
      </c>
      <c r="P49" s="13">
        <v>139650</v>
      </c>
      <c r="Q49" s="155">
        <f t="shared" ref="Q49:Q60" si="14">(P49/O49)</f>
        <v>0.44277810364780673</v>
      </c>
      <c r="R49" s="13">
        <f>O49-P49</f>
        <v>175745</v>
      </c>
      <c r="S49" s="13">
        <v>302496</v>
      </c>
      <c r="T49" s="13">
        <v>136994.62</v>
      </c>
      <c r="U49" s="155">
        <f t="shared" ref="U49:U60" si="15">(T49/S49)</f>
        <v>0.45288076536549243</v>
      </c>
      <c r="V49" s="13">
        <f>S49-T49</f>
        <v>165501.38</v>
      </c>
      <c r="W49" s="13">
        <f>'FY 2009 Exp 01-06-10'!C2</f>
        <v>307595</v>
      </c>
      <c r="X49" s="13">
        <f>SUM('FY 2009 Exp 01-06-10'!F2:K2)</f>
        <v>128584.43000000001</v>
      </c>
      <c r="Y49" s="155">
        <f>X49/W49</f>
        <v>0.41803159999349798</v>
      </c>
      <c r="Z49" s="13">
        <f>'FY 2009 Exp 01-06-10'!D2</f>
        <v>307595</v>
      </c>
      <c r="AA49" s="155">
        <f>X49/Z49</f>
        <v>0.41803159999349798</v>
      </c>
      <c r="AB49" s="13">
        <f>W49-X49</f>
        <v>179010.57</v>
      </c>
      <c r="AC49" s="13">
        <f>'FY 2008 Exp 01-06-10'!C2</f>
        <v>326242</v>
      </c>
      <c r="AD49" s="13">
        <f>SUM('FY 2008 Exp 01-06-10'!F2:K2)</f>
        <v>137775.82</v>
      </c>
      <c r="AE49" s="155">
        <f>AD49/AC49</f>
        <v>0.4223117195210917</v>
      </c>
      <c r="AF49" s="13">
        <f>'FY 2008 Exp 01-06-10'!D2</f>
        <v>326266</v>
      </c>
      <c r="AG49" s="155">
        <f>AD49/AF49</f>
        <v>0.42228065443533808</v>
      </c>
      <c r="AH49" s="13">
        <f>AC49-AD49</f>
        <v>188466.18</v>
      </c>
    </row>
    <row r="50" spans="1:34" ht="15.75" customHeight="1">
      <c r="A50" s="218" t="s">
        <v>123</v>
      </c>
      <c r="B50" s="219"/>
      <c r="C50" s="11">
        <f t="shared" ref="C50:D59" si="16">K50</f>
        <v>376370</v>
      </c>
      <c r="D50" s="11">
        <f t="shared" si="16"/>
        <v>134234</v>
      </c>
      <c r="E50" s="12">
        <f t="shared" si="11"/>
        <v>0.35665435608576668</v>
      </c>
      <c r="F50" s="22">
        <f t="shared" ref="F50:F60" si="17">+G50-D50</f>
        <v>53951</v>
      </c>
      <c r="G50" s="23">
        <f t="shared" ref="G50:G60" si="18">C50*0.5</f>
        <v>188185</v>
      </c>
      <c r="H50" s="25">
        <f t="shared" si="12"/>
        <v>242136</v>
      </c>
      <c r="I50" s="1">
        <v>0.5</v>
      </c>
      <c r="J50" s="135" t="s">
        <v>123</v>
      </c>
      <c r="K50" s="156">
        <v>376370</v>
      </c>
      <c r="L50" s="156">
        <v>134234</v>
      </c>
      <c r="M50" s="155">
        <f t="shared" si="13"/>
        <v>0.35665435608576668</v>
      </c>
      <c r="N50" s="156">
        <f t="shared" ref="N50:N59" si="19">K50-L50</f>
        <v>242136</v>
      </c>
      <c r="O50" s="156">
        <v>376370</v>
      </c>
      <c r="P50" s="156">
        <v>236962</v>
      </c>
      <c r="Q50" s="155">
        <f t="shared" si="14"/>
        <v>0.62959853335813165</v>
      </c>
      <c r="R50" s="156">
        <f t="shared" ref="R50:R59" si="20">O50-P50</f>
        <v>139408</v>
      </c>
      <c r="S50" s="156">
        <v>411370</v>
      </c>
      <c r="T50" s="156">
        <v>289019.63</v>
      </c>
      <c r="U50" s="155">
        <f t="shared" si="15"/>
        <v>0.70257828718671755</v>
      </c>
      <c r="V50" s="156">
        <f t="shared" ref="V50:V59" si="21">S50-T50</f>
        <v>122350.37</v>
      </c>
      <c r="W50" s="156">
        <f>'FY 2009 Exp 01-06-10'!C3</f>
        <v>510370</v>
      </c>
      <c r="X50" s="156">
        <f>SUM('FY 2009 Exp 01-06-10'!F3:K3)</f>
        <v>336446.91</v>
      </c>
      <c r="Y50" s="155">
        <f t="shared" ref="Y50:Y60" si="22">X50/W50</f>
        <v>0.65922156474714422</v>
      </c>
      <c r="Z50" s="156">
        <f>'FY 2009 Exp 01-06-10'!D3</f>
        <v>575162</v>
      </c>
      <c r="AA50" s="155">
        <f t="shared" ref="AA50:AA60" si="23">X50/Z50</f>
        <v>0.58496025467607382</v>
      </c>
      <c r="AB50" s="13">
        <f t="shared" ref="AB50:AB59" si="24">W50-X50</f>
        <v>173923.09000000003</v>
      </c>
      <c r="AC50" s="156">
        <f>'FY 2008 Exp 01-06-10'!C3</f>
        <v>461110</v>
      </c>
      <c r="AD50" s="156">
        <f>SUM('FY 2008 Exp 01-06-10'!F3:K3)</f>
        <v>304413.27</v>
      </c>
      <c r="AE50" s="155">
        <f t="shared" ref="AE50:AE60" si="25">AD50/AC50</f>
        <v>0.66017494740951188</v>
      </c>
      <c r="AF50" s="156">
        <f>'FY 2008 Exp 01-06-10'!D3</f>
        <v>497765</v>
      </c>
      <c r="AG50" s="155">
        <f t="shared" ref="AG50:AG60" si="26">AD50/AF50</f>
        <v>0.61156021415728312</v>
      </c>
      <c r="AH50" s="13">
        <f t="shared" ref="AH50:AH59" si="27">AC50-AD50</f>
        <v>156696.72999999998</v>
      </c>
    </row>
    <row r="51" spans="1:34" ht="15.75" customHeight="1">
      <c r="A51" s="218" t="s">
        <v>31</v>
      </c>
      <c r="B51" s="219"/>
      <c r="C51" s="11">
        <f t="shared" si="16"/>
        <v>3539581</v>
      </c>
      <c r="D51" s="11">
        <f t="shared" si="16"/>
        <v>1181233</v>
      </c>
      <c r="E51" s="12">
        <f t="shared" si="11"/>
        <v>0.3337211381799145</v>
      </c>
      <c r="F51" s="22">
        <f t="shared" si="17"/>
        <v>588557.5</v>
      </c>
      <c r="G51" s="23">
        <f t="shared" si="18"/>
        <v>1769790.5</v>
      </c>
      <c r="H51" s="25">
        <f t="shared" si="12"/>
        <v>2358348</v>
      </c>
      <c r="I51" s="1">
        <v>0.5</v>
      </c>
      <c r="J51" s="135" t="s">
        <v>31</v>
      </c>
      <c r="K51" s="156">
        <v>3539581</v>
      </c>
      <c r="L51" s="156">
        <v>1181233</v>
      </c>
      <c r="M51" s="155">
        <f t="shared" si="13"/>
        <v>0.3337211381799145</v>
      </c>
      <c r="N51" s="156">
        <f t="shared" si="19"/>
        <v>2358348</v>
      </c>
      <c r="O51" s="156">
        <v>2892101</v>
      </c>
      <c r="P51" s="156">
        <v>991365</v>
      </c>
      <c r="Q51" s="155">
        <f t="shared" si="14"/>
        <v>0.34278367180122687</v>
      </c>
      <c r="R51" s="156">
        <f t="shared" si="20"/>
        <v>1900736</v>
      </c>
      <c r="S51" s="156">
        <v>3263326</v>
      </c>
      <c r="T51" s="156">
        <v>1521774.66</v>
      </c>
      <c r="U51" s="155">
        <f t="shared" si="15"/>
        <v>0.46632627570766755</v>
      </c>
      <c r="V51" s="156">
        <f t="shared" si="21"/>
        <v>1741551.34</v>
      </c>
      <c r="W51" s="156">
        <f>'FY 2009 Exp 01-06-10'!C5</f>
        <v>3360551</v>
      </c>
      <c r="X51" s="156">
        <f>SUM('FY 2009 Exp 01-06-10'!F5:K5)</f>
        <v>1517439.4300000002</v>
      </c>
      <c r="Y51" s="155">
        <f t="shared" si="22"/>
        <v>0.45154482999960427</v>
      </c>
      <c r="Z51" s="156">
        <f>'FY 2009 Exp 01-06-10'!D5</f>
        <v>3258569</v>
      </c>
      <c r="AA51" s="155">
        <f t="shared" si="23"/>
        <v>0.46567662983352515</v>
      </c>
      <c r="AB51" s="13">
        <f t="shared" si="24"/>
        <v>1843111.5699999998</v>
      </c>
      <c r="AC51" s="156">
        <f>'FY 2008 Exp 01-06-10'!C5</f>
        <v>2433415</v>
      </c>
      <c r="AD51" s="156">
        <f>SUM('FY 2008 Exp 01-06-10'!F5:K5)</f>
        <v>1357706.9300000002</v>
      </c>
      <c r="AE51" s="155">
        <f t="shared" si="25"/>
        <v>0.55794302656965633</v>
      </c>
      <c r="AF51" s="156">
        <f>'FY 2008 Exp 01-06-10'!D5</f>
        <v>3116351</v>
      </c>
      <c r="AG51" s="155">
        <f t="shared" si="26"/>
        <v>0.43567201833169633</v>
      </c>
      <c r="AH51" s="13">
        <f t="shared" si="27"/>
        <v>1075708.0699999998</v>
      </c>
    </row>
    <row r="52" spans="1:34" ht="15.75" customHeight="1">
      <c r="A52" s="218" t="s">
        <v>15</v>
      </c>
      <c r="B52" s="219"/>
      <c r="C52" s="11">
        <f t="shared" si="16"/>
        <v>10245180</v>
      </c>
      <c r="D52" s="11">
        <f t="shared" si="16"/>
        <v>5458811</v>
      </c>
      <c r="E52" s="12">
        <f t="shared" si="11"/>
        <v>0.53281748100082182</v>
      </c>
      <c r="F52" s="22">
        <f t="shared" si="17"/>
        <v>-336221</v>
      </c>
      <c r="G52" s="23">
        <f t="shared" si="18"/>
        <v>5122590</v>
      </c>
      <c r="H52" s="25">
        <f t="shared" si="12"/>
        <v>4786369</v>
      </c>
      <c r="I52" s="1">
        <v>0.5</v>
      </c>
      <c r="J52" s="135" t="s">
        <v>15</v>
      </c>
      <c r="K52" s="156">
        <v>10245180</v>
      </c>
      <c r="L52" s="156">
        <v>5458811</v>
      </c>
      <c r="M52" s="155">
        <f t="shared" si="13"/>
        <v>0.53281748100082182</v>
      </c>
      <c r="N52" s="156">
        <f t="shared" si="19"/>
        <v>4786369</v>
      </c>
      <c r="O52" s="156">
        <v>10586321</v>
      </c>
      <c r="P52" s="156">
        <v>5265073</v>
      </c>
      <c r="Q52" s="155">
        <f t="shared" si="14"/>
        <v>0.49734681198501351</v>
      </c>
      <c r="R52" s="156">
        <f t="shared" si="20"/>
        <v>5321248</v>
      </c>
      <c r="S52" s="156">
        <v>10604579</v>
      </c>
      <c r="T52" s="156">
        <v>5308214.72</v>
      </c>
      <c r="U52" s="155">
        <f t="shared" si="15"/>
        <v>0.50055874165301606</v>
      </c>
      <c r="V52" s="156">
        <f t="shared" si="21"/>
        <v>5296364.28</v>
      </c>
      <c r="W52" s="156">
        <f>'FY 2009 Exp 01-06-10'!C6</f>
        <v>10906229</v>
      </c>
      <c r="X52" s="156">
        <f>SUM('FY 2009 Exp 01-06-10'!F6:K6)</f>
        <v>5148824.4700000007</v>
      </c>
      <c r="Y52" s="155">
        <f t="shared" si="22"/>
        <v>0.47209942776737962</v>
      </c>
      <c r="Z52" s="156">
        <f>'FY 2009 Exp 01-06-10'!D6</f>
        <v>11732575</v>
      </c>
      <c r="AA52" s="155">
        <f t="shared" si="23"/>
        <v>0.43884863041574423</v>
      </c>
      <c r="AB52" s="13">
        <f t="shared" si="24"/>
        <v>5757404.5299999993</v>
      </c>
      <c r="AC52" s="156">
        <f>'FY 2008 Exp 01-06-10'!C6</f>
        <v>9925189</v>
      </c>
      <c r="AD52" s="156">
        <f>SUM('FY 2008 Exp 01-06-10'!F6:K6)</f>
        <v>5097103.41</v>
      </c>
      <c r="AE52" s="155">
        <f t="shared" si="25"/>
        <v>0.5135522769390084</v>
      </c>
      <c r="AF52" s="156">
        <f>'FY 2008 Exp 01-06-10'!D6</f>
        <v>10190881</v>
      </c>
      <c r="AG52" s="155">
        <f t="shared" si="26"/>
        <v>0.50016317627494622</v>
      </c>
      <c r="AH52" s="13">
        <f t="shared" si="27"/>
        <v>4828085.59</v>
      </c>
    </row>
    <row r="53" spans="1:34" ht="15.75" customHeight="1">
      <c r="A53" s="218" t="s">
        <v>14</v>
      </c>
      <c r="B53" s="219"/>
      <c r="C53" s="11">
        <f t="shared" si="16"/>
        <v>31030208</v>
      </c>
      <c r="D53" s="11">
        <f t="shared" si="16"/>
        <v>11707809</v>
      </c>
      <c r="E53" s="12">
        <f t="shared" si="11"/>
        <v>0.37730359396881902</v>
      </c>
      <c r="F53" s="22">
        <f t="shared" si="17"/>
        <v>3807295</v>
      </c>
      <c r="G53" s="23">
        <f t="shared" si="18"/>
        <v>15515104</v>
      </c>
      <c r="H53" s="25">
        <f t="shared" si="12"/>
        <v>19322399</v>
      </c>
      <c r="I53" s="1">
        <v>0.5</v>
      </c>
      <c r="J53" s="135" t="s">
        <v>151</v>
      </c>
      <c r="K53" s="156">
        <v>31030208</v>
      </c>
      <c r="L53" s="156">
        <v>11707809</v>
      </c>
      <c r="M53" s="155">
        <f t="shared" si="13"/>
        <v>0.37730359396881902</v>
      </c>
      <c r="N53" s="156">
        <f t="shared" si="19"/>
        <v>19322399</v>
      </c>
      <c r="O53" s="156">
        <v>36594199</v>
      </c>
      <c r="P53" s="156">
        <v>14902536</v>
      </c>
      <c r="Q53" s="155">
        <f t="shared" si="14"/>
        <v>0.40723766081066565</v>
      </c>
      <c r="R53" s="156">
        <f t="shared" si="20"/>
        <v>21691663</v>
      </c>
      <c r="S53" s="156">
        <v>36033186</v>
      </c>
      <c r="T53" s="156">
        <v>11063278.310000001</v>
      </c>
      <c r="U53" s="155">
        <f t="shared" si="15"/>
        <v>0.30703025566487518</v>
      </c>
      <c r="V53" s="156">
        <f t="shared" si="21"/>
        <v>24969907.689999998</v>
      </c>
      <c r="W53" s="156">
        <f>'FY 2009 Exp 01-06-10'!C7</f>
        <v>34955768</v>
      </c>
      <c r="X53" s="156">
        <f>SUM('FY 2009 Exp 01-06-10'!F7:K7)</f>
        <v>12937997.109999999</v>
      </c>
      <c r="Y53" s="155">
        <f t="shared" si="22"/>
        <v>0.37012481344995768</v>
      </c>
      <c r="Z53" s="156">
        <f>'FY 2009 Exp 01-06-10'!D7</f>
        <v>31765451</v>
      </c>
      <c r="AA53" s="155">
        <f t="shared" si="23"/>
        <v>0.40729776227638004</v>
      </c>
      <c r="AB53" s="13">
        <f t="shared" si="24"/>
        <v>22017770.890000001</v>
      </c>
      <c r="AC53" s="156">
        <f>'FY 2008 Exp 01-06-10'!C7</f>
        <v>33931130</v>
      </c>
      <c r="AD53" s="156">
        <f>SUM('FY 2008 Exp 01-06-10'!F7:K7)</f>
        <v>8682749.5</v>
      </c>
      <c r="AE53" s="155">
        <f t="shared" si="25"/>
        <v>0.25589331979217905</v>
      </c>
      <c r="AF53" s="156">
        <f>'FY 2008 Exp 01-06-10'!D7</f>
        <v>30400731</v>
      </c>
      <c r="AG53" s="155">
        <f t="shared" si="26"/>
        <v>0.28560989207792403</v>
      </c>
      <c r="AH53" s="13">
        <f t="shared" si="27"/>
        <v>25248380.5</v>
      </c>
    </row>
    <row r="54" spans="1:34" ht="15.75" customHeight="1">
      <c r="A54" s="218" t="s">
        <v>124</v>
      </c>
      <c r="B54" s="219"/>
      <c r="C54" s="11">
        <f t="shared" si="16"/>
        <v>11756112</v>
      </c>
      <c r="D54" s="11">
        <f t="shared" si="16"/>
        <v>5585573</v>
      </c>
      <c r="E54" s="12">
        <f t="shared" si="11"/>
        <v>0.47512077122096147</v>
      </c>
      <c r="F54" s="22">
        <f t="shared" si="17"/>
        <v>292483</v>
      </c>
      <c r="G54" s="23">
        <f t="shared" si="18"/>
        <v>5878056</v>
      </c>
      <c r="H54" s="25">
        <f t="shared" si="12"/>
        <v>6170539</v>
      </c>
      <c r="I54" s="1">
        <v>0.5</v>
      </c>
      <c r="J54" s="135" t="s">
        <v>124</v>
      </c>
      <c r="K54" s="156">
        <v>11756112</v>
      </c>
      <c r="L54" s="156">
        <v>5585573</v>
      </c>
      <c r="M54" s="155">
        <f t="shared" si="13"/>
        <v>0.47512077122096147</v>
      </c>
      <c r="N54" s="156">
        <f t="shared" si="19"/>
        <v>6170539</v>
      </c>
      <c r="O54" s="156">
        <v>12350821</v>
      </c>
      <c r="P54" s="156">
        <v>5621707</v>
      </c>
      <c r="Q54" s="155">
        <f t="shared" si="14"/>
        <v>0.45516868878595196</v>
      </c>
      <c r="R54" s="156">
        <f t="shared" si="20"/>
        <v>6729114</v>
      </c>
      <c r="S54" s="156">
        <v>11603014</v>
      </c>
      <c r="T54" s="156">
        <v>5465500.0300000003</v>
      </c>
      <c r="U54" s="155">
        <f t="shared" si="15"/>
        <v>0.47104140613809481</v>
      </c>
      <c r="V54" s="156">
        <f t="shared" si="21"/>
        <v>6137513.9699999997</v>
      </c>
      <c r="W54" s="156">
        <f>'FY 2009 Exp 01-06-10'!C8</f>
        <v>11138553</v>
      </c>
      <c r="X54" s="156">
        <f>SUM('FY 2009 Exp 01-06-10'!F8:K8)</f>
        <v>5806850.4500000002</v>
      </c>
      <c r="Y54" s="155">
        <f t="shared" si="22"/>
        <v>0.52132897783042376</v>
      </c>
      <c r="Z54" s="156">
        <f>'FY 2009 Exp 01-06-10'!D8</f>
        <v>12178567</v>
      </c>
      <c r="AA54" s="155">
        <f t="shared" si="23"/>
        <v>0.4768090079891994</v>
      </c>
      <c r="AB54" s="13">
        <f t="shared" si="24"/>
        <v>5331702.55</v>
      </c>
      <c r="AC54" s="156">
        <f>'FY 2008 Exp 01-06-10'!C8</f>
        <v>10691922</v>
      </c>
      <c r="AD54" s="156">
        <f>SUM('FY 2008 Exp 01-06-10'!F8:K8)</f>
        <v>4386370.58</v>
      </c>
      <c r="AE54" s="155">
        <f t="shared" si="25"/>
        <v>0.41025089595677933</v>
      </c>
      <c r="AF54" s="156">
        <f>'FY 2008 Exp 01-06-10'!D8</f>
        <v>11576518</v>
      </c>
      <c r="AG54" s="155">
        <f t="shared" si="26"/>
        <v>0.37890241089764642</v>
      </c>
      <c r="AH54" s="13">
        <f t="shared" si="27"/>
        <v>6305551.4199999999</v>
      </c>
    </row>
    <row r="55" spans="1:34" ht="15.75" customHeight="1">
      <c r="A55" s="218" t="s">
        <v>32</v>
      </c>
      <c r="B55" s="219"/>
      <c r="C55" s="11">
        <f t="shared" si="16"/>
        <v>14379926</v>
      </c>
      <c r="D55" s="11">
        <f t="shared" si="16"/>
        <v>7613692</v>
      </c>
      <c r="E55" s="12">
        <f t="shared" si="11"/>
        <v>0.52946670240166749</v>
      </c>
      <c r="F55" s="22">
        <f t="shared" si="17"/>
        <v>-423729</v>
      </c>
      <c r="G55" s="23">
        <f t="shared" si="18"/>
        <v>7189963</v>
      </c>
      <c r="H55" s="25">
        <f t="shared" si="12"/>
        <v>6766234</v>
      </c>
      <c r="I55" s="1">
        <v>0.5</v>
      </c>
      <c r="J55" s="135" t="s">
        <v>32</v>
      </c>
      <c r="K55" s="156">
        <v>14379926</v>
      </c>
      <c r="L55" s="156">
        <v>7613692</v>
      </c>
      <c r="M55" s="155">
        <f t="shared" si="13"/>
        <v>0.52946670240166749</v>
      </c>
      <c r="N55" s="156">
        <f t="shared" si="19"/>
        <v>6766234</v>
      </c>
      <c r="O55" s="156">
        <v>14589387</v>
      </c>
      <c r="P55" s="156">
        <v>7281236</v>
      </c>
      <c r="Q55" s="155">
        <f t="shared" si="14"/>
        <v>0.49907758290324328</v>
      </c>
      <c r="R55" s="156">
        <f t="shared" si="20"/>
        <v>7308151</v>
      </c>
      <c r="S55" s="156">
        <v>14742575</v>
      </c>
      <c r="T55" s="156">
        <v>7110684.3600000003</v>
      </c>
      <c r="U55" s="155">
        <f t="shared" si="15"/>
        <v>0.48232309213281943</v>
      </c>
      <c r="V55" s="156">
        <f t="shared" si="21"/>
        <v>7631890.6399999997</v>
      </c>
      <c r="W55" s="156">
        <f>'FY 2009 Exp 01-06-10'!C9</f>
        <v>14546174</v>
      </c>
      <c r="X55" s="156">
        <f>SUM('FY 2009 Exp 01-06-10'!F9:K9)</f>
        <v>7093933.3399999999</v>
      </c>
      <c r="Y55" s="155">
        <f t="shared" si="22"/>
        <v>0.48768379506528658</v>
      </c>
      <c r="Z55" s="156">
        <f>'FY 2009 Exp 01-06-10'!D9</f>
        <v>14631394</v>
      </c>
      <c r="AA55" s="155">
        <f t="shared" si="23"/>
        <v>0.48484329927825059</v>
      </c>
      <c r="AB55" s="13">
        <f t="shared" si="24"/>
        <v>7452240.6600000001</v>
      </c>
      <c r="AC55" s="156">
        <f>'FY 2008 Exp 01-06-10'!C9</f>
        <v>13877308</v>
      </c>
      <c r="AD55" s="156">
        <f>SUM('FY 2008 Exp 01-06-10'!F9:K9)</f>
        <v>6907471.1899999995</v>
      </c>
      <c r="AE55" s="155">
        <f t="shared" si="25"/>
        <v>0.49775296404749392</v>
      </c>
      <c r="AF55" s="156">
        <f>'FY 2008 Exp 01-06-10'!D9</f>
        <v>14249804</v>
      </c>
      <c r="AG55" s="155">
        <f t="shared" si="26"/>
        <v>0.48474148767239184</v>
      </c>
      <c r="AH55" s="13">
        <f t="shared" si="27"/>
        <v>6969836.8100000005</v>
      </c>
    </row>
    <row r="56" spans="1:34" ht="15.75" customHeight="1">
      <c r="A56" s="218" t="s">
        <v>33</v>
      </c>
      <c r="B56" s="219"/>
      <c r="C56" s="11">
        <f t="shared" si="16"/>
        <v>10468040</v>
      </c>
      <c r="D56" s="11">
        <f t="shared" si="16"/>
        <v>5391613</v>
      </c>
      <c r="E56" s="12">
        <f t="shared" si="11"/>
        <v>0.51505468072342098</v>
      </c>
      <c r="F56" s="22">
        <f t="shared" si="17"/>
        <v>-157593</v>
      </c>
      <c r="G56" s="23">
        <f t="shared" si="18"/>
        <v>5234020</v>
      </c>
      <c r="H56" s="25">
        <f t="shared" si="12"/>
        <v>5076427</v>
      </c>
      <c r="I56" s="1">
        <v>0.5</v>
      </c>
      <c r="J56" s="135" t="s">
        <v>33</v>
      </c>
      <c r="K56" s="156">
        <v>10468040</v>
      </c>
      <c r="L56" s="156">
        <v>5391613</v>
      </c>
      <c r="M56" s="155">
        <f t="shared" si="13"/>
        <v>0.51505468072342098</v>
      </c>
      <c r="N56" s="156">
        <f t="shared" si="19"/>
        <v>5076427</v>
      </c>
      <c r="O56" s="156">
        <v>10895570</v>
      </c>
      <c r="P56" s="156">
        <v>5400688</v>
      </c>
      <c r="Q56" s="155">
        <f t="shared" si="14"/>
        <v>0.49567741751923028</v>
      </c>
      <c r="R56" s="156">
        <f t="shared" si="20"/>
        <v>5494882</v>
      </c>
      <c r="S56" s="156">
        <v>10775827</v>
      </c>
      <c r="T56" s="156">
        <v>5358645.12</v>
      </c>
      <c r="U56" s="155">
        <f t="shared" si="15"/>
        <v>0.49728388549667696</v>
      </c>
      <c r="V56" s="156">
        <f t="shared" si="21"/>
        <v>5417181.8799999999</v>
      </c>
      <c r="W56" s="156">
        <f>'FY 2009 Exp 01-06-10'!C10</f>
        <v>10460745</v>
      </c>
      <c r="X56" s="156">
        <f>SUM('FY 2009 Exp 01-06-10'!F10:K10)</f>
        <v>5117713.63</v>
      </c>
      <c r="Y56" s="155">
        <f t="shared" si="22"/>
        <v>0.48923032059380089</v>
      </c>
      <c r="Z56" s="156">
        <f>'FY 2009 Exp 01-06-10'!D10</f>
        <v>10518776</v>
      </c>
      <c r="AA56" s="155">
        <f t="shared" si="23"/>
        <v>0.4865312874805966</v>
      </c>
      <c r="AB56" s="13">
        <f t="shared" si="24"/>
        <v>5343031.37</v>
      </c>
      <c r="AC56" s="156">
        <f>'FY 2008 Exp 01-06-10'!C10</f>
        <v>10121330</v>
      </c>
      <c r="AD56" s="156">
        <f>SUM('FY 2008 Exp 01-06-10'!F10:K10)</f>
        <v>4987796.5</v>
      </c>
      <c r="AE56" s="155">
        <f t="shared" si="25"/>
        <v>0.49280050151511706</v>
      </c>
      <c r="AF56" s="156">
        <f>'FY 2008 Exp 01-06-10'!D10</f>
        <v>10185578</v>
      </c>
      <c r="AG56" s="155">
        <f t="shared" si="26"/>
        <v>0.48969204300433417</v>
      </c>
      <c r="AH56" s="13">
        <f t="shared" si="27"/>
        <v>5133533.5</v>
      </c>
    </row>
    <row r="57" spans="1:34" ht="15.75" customHeight="1">
      <c r="A57" s="218" t="s">
        <v>34</v>
      </c>
      <c r="B57" s="219"/>
      <c r="C57" s="11">
        <f t="shared" si="16"/>
        <v>10353415</v>
      </c>
      <c r="D57" s="11">
        <f t="shared" si="16"/>
        <v>5282435</v>
      </c>
      <c r="E57" s="12">
        <f t="shared" si="11"/>
        <v>0.51021184797479868</v>
      </c>
      <c r="F57" s="22">
        <f t="shared" si="17"/>
        <v>-105727.5</v>
      </c>
      <c r="G57" s="23">
        <f t="shared" si="18"/>
        <v>5176707.5</v>
      </c>
      <c r="H57" s="25">
        <f t="shared" si="12"/>
        <v>5070980</v>
      </c>
      <c r="I57" s="1">
        <v>0.5</v>
      </c>
      <c r="J57" s="135" t="s">
        <v>34</v>
      </c>
      <c r="K57" s="156">
        <v>10353415</v>
      </c>
      <c r="L57" s="156">
        <v>5282435</v>
      </c>
      <c r="M57" s="155">
        <f t="shared" si="13"/>
        <v>0.51021184797479868</v>
      </c>
      <c r="N57" s="156">
        <f t="shared" si="19"/>
        <v>5070980</v>
      </c>
      <c r="O57" s="156">
        <v>10218116</v>
      </c>
      <c r="P57" s="156">
        <v>4631802</v>
      </c>
      <c r="Q57" s="155">
        <f t="shared" si="14"/>
        <v>0.45329315110535051</v>
      </c>
      <c r="R57" s="156">
        <f t="shared" si="20"/>
        <v>5586314</v>
      </c>
      <c r="S57" s="156">
        <v>10781064</v>
      </c>
      <c r="T57" s="156">
        <v>4565598.2300000004</v>
      </c>
      <c r="U57" s="155">
        <f t="shared" si="15"/>
        <v>0.42348308385888445</v>
      </c>
      <c r="V57" s="156">
        <f t="shared" si="21"/>
        <v>6215465.7699999996</v>
      </c>
      <c r="W57" s="156">
        <f>'FY 2009 Exp 01-06-10'!C11</f>
        <v>10829424</v>
      </c>
      <c r="X57" s="156">
        <f>SUM('FY 2009 Exp 01-06-10'!F11:K11)</f>
        <v>4724841.4400000004</v>
      </c>
      <c r="Y57" s="155">
        <f t="shared" si="22"/>
        <v>0.43629665252741057</v>
      </c>
      <c r="Z57" s="156">
        <f>'FY 2009 Exp 01-06-10'!D11</f>
        <v>11207054</v>
      </c>
      <c r="AA57" s="155">
        <f t="shared" si="23"/>
        <v>0.42159531309477055</v>
      </c>
      <c r="AB57" s="13">
        <f t="shared" si="24"/>
        <v>6104582.5599999996</v>
      </c>
      <c r="AC57" s="156">
        <f>'FY 2008 Exp 01-06-10'!C11</f>
        <v>10503495</v>
      </c>
      <c r="AD57" s="156">
        <f>SUM('FY 2008 Exp 01-06-10'!F11:K11)</f>
        <v>4702741.6899999995</v>
      </c>
      <c r="AE57" s="155">
        <f t="shared" si="25"/>
        <v>0.44773113044753193</v>
      </c>
      <c r="AF57" s="156">
        <f>'FY 2008 Exp 01-06-10'!D11</f>
        <v>11177385</v>
      </c>
      <c r="AG57" s="155">
        <f t="shared" si="26"/>
        <v>0.42073720194839842</v>
      </c>
      <c r="AH57" s="13">
        <f t="shared" si="27"/>
        <v>5800753.3100000005</v>
      </c>
    </row>
    <row r="58" spans="1:34" ht="15.75" customHeight="1">
      <c r="A58" s="218" t="s">
        <v>35</v>
      </c>
      <c r="B58" s="219"/>
      <c r="C58" s="11">
        <f t="shared" si="16"/>
        <v>45271679</v>
      </c>
      <c r="D58" s="11">
        <f t="shared" si="16"/>
        <v>24431200</v>
      </c>
      <c r="E58" s="12">
        <f t="shared" si="11"/>
        <v>0.5396574754826301</v>
      </c>
      <c r="F58" s="22">
        <f t="shared" si="17"/>
        <v>-1795360.5</v>
      </c>
      <c r="G58" s="23">
        <f t="shared" si="18"/>
        <v>22635839.5</v>
      </c>
      <c r="H58" s="25">
        <f>C58-D58</f>
        <v>20840479</v>
      </c>
      <c r="I58" s="1">
        <v>0.5</v>
      </c>
      <c r="J58" s="135" t="s">
        <v>35</v>
      </c>
      <c r="K58" s="156">
        <v>45271679</v>
      </c>
      <c r="L58" s="156">
        <v>24431200</v>
      </c>
      <c r="M58" s="155">
        <f t="shared" si="13"/>
        <v>0.5396574754826301</v>
      </c>
      <c r="N58" s="156">
        <f t="shared" si="19"/>
        <v>20840479</v>
      </c>
      <c r="O58" s="156">
        <v>45505343</v>
      </c>
      <c r="P58" s="156">
        <v>23617795</v>
      </c>
      <c r="Q58" s="155">
        <f t="shared" si="14"/>
        <v>0.51901147080684573</v>
      </c>
      <c r="R58" s="156">
        <f t="shared" si="20"/>
        <v>21887548</v>
      </c>
      <c r="S58" s="156">
        <v>45971504</v>
      </c>
      <c r="T58" s="156">
        <v>23496387.489999998</v>
      </c>
      <c r="U58" s="155">
        <f t="shared" si="15"/>
        <v>0.51110765247097412</v>
      </c>
      <c r="V58" s="156">
        <f t="shared" si="21"/>
        <v>22475116.510000002</v>
      </c>
      <c r="W58" s="156">
        <f>'FY 2009 Exp 01-06-10'!C12</f>
        <v>44763416</v>
      </c>
      <c r="X58" s="156">
        <f>SUM('FY 2009 Exp 01-06-10'!F12:K12)</f>
        <v>23289222.100000001</v>
      </c>
      <c r="Y58" s="155">
        <f t="shared" si="22"/>
        <v>0.52027356670009284</v>
      </c>
      <c r="Z58" s="156">
        <f>'FY 2009 Exp 01-06-10'!D12</f>
        <v>45148643</v>
      </c>
      <c r="AA58" s="155">
        <f t="shared" si="23"/>
        <v>0.51583437624027817</v>
      </c>
      <c r="AB58" s="13">
        <f t="shared" si="24"/>
        <v>21474193.899999999</v>
      </c>
      <c r="AC58" s="156">
        <f>'FY 2008 Exp 01-06-10'!C12</f>
        <v>44214975</v>
      </c>
      <c r="AD58" s="156">
        <f>SUM('FY 2008 Exp 01-06-10'!F12:K12)</f>
        <v>22765117.540000003</v>
      </c>
      <c r="AE58" s="155">
        <f t="shared" si="25"/>
        <v>0.51487346854770366</v>
      </c>
      <c r="AF58" s="156">
        <f>'FY 2008 Exp 01-06-10'!D12</f>
        <v>44791732</v>
      </c>
      <c r="AG58" s="155">
        <f t="shared" si="26"/>
        <v>0.50824374328726563</v>
      </c>
      <c r="AH58" s="13">
        <f t="shared" si="27"/>
        <v>21449857.459999997</v>
      </c>
    </row>
    <row r="59" spans="1:34" ht="15.75" customHeight="1" thickBot="1">
      <c r="A59" s="218" t="s">
        <v>36</v>
      </c>
      <c r="B59" s="219"/>
      <c r="C59" s="11">
        <f t="shared" si="16"/>
        <v>9085000</v>
      </c>
      <c r="D59" s="11">
        <f t="shared" si="16"/>
        <v>9085000</v>
      </c>
      <c r="E59" s="12">
        <f t="shared" si="11"/>
        <v>1</v>
      </c>
      <c r="F59" s="22">
        <f t="shared" si="17"/>
        <v>-4542500</v>
      </c>
      <c r="G59" s="23">
        <f t="shared" si="18"/>
        <v>4542500</v>
      </c>
      <c r="H59" s="25">
        <f>C59-D59</f>
        <v>0</v>
      </c>
      <c r="I59" s="1">
        <v>0.5</v>
      </c>
      <c r="J59" s="135" t="s">
        <v>36</v>
      </c>
      <c r="K59" s="158">
        <v>9085000</v>
      </c>
      <c r="L59" s="158">
        <v>9085000</v>
      </c>
      <c r="M59" s="152">
        <f t="shared" si="13"/>
        <v>1</v>
      </c>
      <c r="N59" s="158">
        <f t="shared" si="19"/>
        <v>0</v>
      </c>
      <c r="O59" s="158">
        <v>9355000</v>
      </c>
      <c r="P59" s="158">
        <v>9355000</v>
      </c>
      <c r="Q59" s="152">
        <f t="shared" si="14"/>
        <v>1</v>
      </c>
      <c r="R59" s="158">
        <f t="shared" si="20"/>
        <v>0</v>
      </c>
      <c r="S59" s="158">
        <v>8370000</v>
      </c>
      <c r="T59" s="158">
        <v>7790000</v>
      </c>
      <c r="U59" s="152">
        <f t="shared" si="15"/>
        <v>0.93070489844683391</v>
      </c>
      <c r="V59" s="158">
        <f t="shared" si="21"/>
        <v>580000</v>
      </c>
      <c r="W59" s="158">
        <f>'FY 2009 Exp 01-06-10'!C14</f>
        <v>8707782</v>
      </c>
      <c r="X59" s="158">
        <f>SUM('FY 2009 Exp 01-06-10'!F14:K14)</f>
        <v>8668245</v>
      </c>
      <c r="Y59" s="152">
        <f t="shared" si="22"/>
        <v>0.99545957857006528</v>
      </c>
      <c r="Z59" s="158">
        <f>'FY 2009 Exp 01-06-10'!D14</f>
        <v>13464262</v>
      </c>
      <c r="AA59" s="152">
        <f t="shared" si="23"/>
        <v>0.64379651851694508</v>
      </c>
      <c r="AB59" s="159">
        <f t="shared" si="24"/>
        <v>39537</v>
      </c>
      <c r="AC59" s="158">
        <f>'FY 2008 Exp 01-06-10'!C14</f>
        <v>9046853</v>
      </c>
      <c r="AD59" s="158">
        <f>SUM('FY 2008 Exp 01-06-10'!F14:K14)</f>
        <v>8086390</v>
      </c>
      <c r="AE59" s="152">
        <f t="shared" si="25"/>
        <v>0.89383457429893021</v>
      </c>
      <c r="AF59" s="158">
        <f>'FY 2008 Exp 01-06-10'!D14</f>
        <v>19089565</v>
      </c>
      <c r="AG59" s="152">
        <f t="shared" si="26"/>
        <v>0.42360263316633984</v>
      </c>
      <c r="AH59" s="159">
        <f t="shared" si="27"/>
        <v>960463</v>
      </c>
    </row>
    <row r="60" spans="1:34" ht="15.75" customHeight="1" thickBot="1">
      <c r="A60" s="220" t="s">
        <v>28</v>
      </c>
      <c r="B60" s="221"/>
      <c r="C60" s="20">
        <f>SUM(C49:C59)</f>
        <v>146765759</v>
      </c>
      <c r="D60" s="20">
        <f>SUM(D49:D59)</f>
        <v>76004419</v>
      </c>
      <c r="E60" s="12">
        <f t="shared" si="11"/>
        <v>0.51786206481581309</v>
      </c>
      <c r="F60" s="175">
        <f t="shared" si="17"/>
        <v>-2621539.5</v>
      </c>
      <c r="G60" s="23">
        <f t="shared" si="18"/>
        <v>73382879.5</v>
      </c>
      <c r="J60" s="107"/>
      <c r="K60" s="157">
        <f>SUM(K49:K59)</f>
        <v>146765759</v>
      </c>
      <c r="L60" s="157">
        <f>SUM(L49:L59)</f>
        <v>76004419</v>
      </c>
      <c r="M60" s="153">
        <f t="shared" si="13"/>
        <v>0.51786206481581309</v>
      </c>
      <c r="N60" s="157">
        <f>SUM(N49:N59)</f>
        <v>70761340</v>
      </c>
      <c r="O60" s="157">
        <f>SUM(O49:O59)</f>
        <v>153678623</v>
      </c>
      <c r="P60" s="157">
        <f>SUM(P49:P59)</f>
        <v>77443814</v>
      </c>
      <c r="Q60" s="153">
        <f t="shared" si="14"/>
        <v>0.50393354969090265</v>
      </c>
      <c r="R60" s="157">
        <f>SUM(R49:R59)</f>
        <v>76234809</v>
      </c>
      <c r="S60" s="157">
        <f>SUM(S49:S59)</f>
        <v>152858941</v>
      </c>
      <c r="T60" s="157">
        <f>SUM(T49:T59)</f>
        <v>72106097.170000002</v>
      </c>
      <c r="U60" s="153">
        <f t="shared" si="15"/>
        <v>0.47171658195643262</v>
      </c>
      <c r="V60" s="157">
        <f>SUM(V49:V59)</f>
        <v>80752843.830000013</v>
      </c>
      <c r="W60" s="157">
        <f t="shared" ref="W60:AH60" si="28">SUM(W49:W59)</f>
        <v>150486607</v>
      </c>
      <c r="X60" s="157">
        <f t="shared" si="28"/>
        <v>74770098.310000002</v>
      </c>
      <c r="Y60" s="153">
        <f t="shared" si="22"/>
        <v>0.49685549963924697</v>
      </c>
      <c r="Z60" s="157">
        <f t="shared" si="28"/>
        <v>154788048</v>
      </c>
      <c r="AA60" s="153">
        <f t="shared" si="23"/>
        <v>0.48304826681450236</v>
      </c>
      <c r="AB60" s="157">
        <f t="shared" si="28"/>
        <v>75716508.689999998</v>
      </c>
      <c r="AC60" s="157">
        <f t="shared" si="28"/>
        <v>145532969</v>
      </c>
      <c r="AD60" s="157">
        <f t="shared" si="28"/>
        <v>67415636.429999992</v>
      </c>
      <c r="AE60" s="153">
        <f t="shared" si="25"/>
        <v>0.46323274302196082</v>
      </c>
      <c r="AF60" s="157">
        <f t="shared" si="28"/>
        <v>155602576</v>
      </c>
      <c r="AG60" s="153">
        <f t="shared" si="26"/>
        <v>0.43325527226490129</v>
      </c>
      <c r="AH60" s="157">
        <f t="shared" si="28"/>
        <v>78117332.570000008</v>
      </c>
    </row>
    <row r="61" spans="1:34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4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</sheetData>
  <mergeCells count="26">
    <mergeCell ref="A18:B18"/>
    <mergeCell ref="B3:D3"/>
    <mergeCell ref="A13:F13"/>
    <mergeCell ref="A14:F14"/>
    <mergeCell ref="A16:B16"/>
    <mergeCell ref="A17:B17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9:B59"/>
    <mergeCell ref="A60:B60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zoomScaleNormal="100" workbookViewId="0">
      <selection activeCell="AB26" sqref="AB26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3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0.7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14" style="2" customWidth="1"/>
    <col min="28" max="28" width="13.375" style="2" customWidth="1"/>
    <col min="29" max="29" width="11.875" style="2" customWidth="1"/>
    <col min="30" max="30" width="12.75" style="2" customWidth="1"/>
    <col min="31" max="31" width="9" style="2"/>
    <col min="32" max="32" width="14.125" style="2" customWidth="1"/>
    <col min="33" max="33" width="9" style="2"/>
    <col min="34" max="34" width="13.5" style="2" customWidth="1"/>
    <col min="35" max="16384" width="9" style="2"/>
  </cols>
  <sheetData>
    <row r="1" spans="1:29" ht="15.95" customHeight="1">
      <c r="E1" s="3"/>
      <c r="F1" s="3" t="s">
        <v>23</v>
      </c>
    </row>
    <row r="2" spans="1:29" ht="15.95" customHeight="1">
      <c r="E2" s="3"/>
      <c r="F2" s="3" t="s">
        <v>56</v>
      </c>
    </row>
    <row r="3" spans="1:29" ht="15.95" customHeight="1">
      <c r="B3" s="202" t="s">
        <v>43</v>
      </c>
      <c r="C3" s="202"/>
      <c r="D3" s="202"/>
      <c r="E3" s="3"/>
      <c r="F3" s="3" t="s">
        <v>57</v>
      </c>
    </row>
    <row r="4" spans="1:29" ht="15.95" customHeight="1">
      <c r="E4" s="3"/>
      <c r="F4" s="3" t="s">
        <v>58</v>
      </c>
    </row>
    <row r="5" spans="1:29" ht="15.95" customHeight="1">
      <c r="E5" s="3"/>
      <c r="F5" s="3" t="s">
        <v>24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38</v>
      </c>
      <c r="B8" s="7" t="s">
        <v>39</v>
      </c>
    </row>
    <row r="9" spans="1:29" ht="19.5" customHeight="1">
      <c r="A9" s="6" t="s">
        <v>40</v>
      </c>
      <c r="B9" s="7" t="s">
        <v>98</v>
      </c>
    </row>
    <row r="10" spans="1:29" ht="19.5" customHeight="1">
      <c r="A10" s="6" t="s">
        <v>41</v>
      </c>
      <c r="B10" s="8">
        <v>40923</v>
      </c>
    </row>
    <row r="11" spans="1:29" ht="19.5" customHeight="1">
      <c r="A11" s="6" t="s">
        <v>42</v>
      </c>
      <c r="B11" s="7" t="s">
        <v>182</v>
      </c>
    </row>
    <row r="12" spans="1:29" ht="19.5" customHeight="1">
      <c r="A12" s="6"/>
      <c r="B12" s="7"/>
    </row>
    <row r="13" spans="1:29" ht="24.75" customHeight="1">
      <c r="A13" s="212"/>
      <c r="B13" s="212"/>
      <c r="C13" s="212"/>
      <c r="D13" s="212"/>
      <c r="E13" s="212"/>
      <c r="F13" s="212"/>
    </row>
    <row r="14" spans="1:29" ht="31.5" customHeight="1">
      <c r="A14" s="213" t="s">
        <v>29</v>
      </c>
      <c r="B14" s="213"/>
      <c r="C14" s="213"/>
      <c r="D14" s="213"/>
      <c r="E14" s="213"/>
      <c r="F14" s="213"/>
    </row>
    <row r="15" spans="1:29">
      <c r="K15" s="134"/>
      <c r="L15" s="134"/>
      <c r="M15" s="134"/>
      <c r="N15" s="134"/>
    </row>
    <row r="16" spans="1:29" ht="38.25">
      <c r="A16" s="214"/>
      <c r="B16" s="214"/>
      <c r="C16" s="9" t="s">
        <v>183</v>
      </c>
      <c r="D16" s="9" t="s">
        <v>186</v>
      </c>
      <c r="E16" s="9" t="s">
        <v>25</v>
      </c>
      <c r="F16" s="9" t="s">
        <v>13</v>
      </c>
      <c r="G16" s="10">
        <v>0.25</v>
      </c>
      <c r="H16" s="2" t="s">
        <v>44</v>
      </c>
      <c r="I16" s="10">
        <v>0.25</v>
      </c>
      <c r="K16" s="9" t="s">
        <v>183</v>
      </c>
      <c r="L16" s="9" t="s">
        <v>184</v>
      </c>
      <c r="M16" s="9">
        <v>2012</v>
      </c>
      <c r="N16" s="9" t="s">
        <v>143</v>
      </c>
      <c r="O16" s="9" t="s">
        <v>185</v>
      </c>
      <c r="P16" s="9" t="s">
        <v>187</v>
      </c>
      <c r="Q16" s="9">
        <v>2011</v>
      </c>
      <c r="R16" s="9" t="s">
        <v>99</v>
      </c>
      <c r="S16" s="9" t="s">
        <v>141</v>
      </c>
      <c r="T16" s="9" t="s">
        <v>142</v>
      </c>
      <c r="U16" s="9">
        <v>2010</v>
      </c>
      <c r="V16" s="9" t="s">
        <v>1</v>
      </c>
      <c r="W16" s="9" t="s">
        <v>110</v>
      </c>
      <c r="X16" s="9" t="s">
        <v>113</v>
      </c>
      <c r="Y16" s="9">
        <v>2009</v>
      </c>
      <c r="Z16" s="9" t="s">
        <v>111</v>
      </c>
      <c r="AA16" s="9" t="s">
        <v>112</v>
      </c>
      <c r="AB16" s="9" t="s">
        <v>114</v>
      </c>
      <c r="AC16" s="9">
        <v>2008</v>
      </c>
    </row>
    <row r="17" spans="1:29" ht="15.75" customHeight="1">
      <c r="A17" s="215" t="s">
        <v>26</v>
      </c>
      <c r="B17" s="215"/>
      <c r="C17" s="11">
        <f>K17</f>
        <v>124011587</v>
      </c>
      <c r="D17" s="11">
        <f>L17</f>
        <v>54747327</v>
      </c>
      <c r="E17" s="12">
        <f t="shared" ref="E17:E24" si="0">(D17/C17)</f>
        <v>0.441469449141071</v>
      </c>
      <c r="F17" s="29">
        <f t="shared" ref="F17:F23" si="1">D17-G17</f>
        <v>23744430.25</v>
      </c>
      <c r="G17" s="14">
        <f>C17*0.25</f>
        <v>31002896.75</v>
      </c>
      <c r="H17" s="15">
        <f t="shared" ref="H17:H23" si="2">C17-D17</f>
        <v>69264260</v>
      </c>
      <c r="I17" s="10">
        <v>0.25</v>
      </c>
      <c r="J17" s="21" t="str">
        <f>A17</f>
        <v>Current / Delinquent Taxes</v>
      </c>
      <c r="K17" s="165">
        <v>124011587</v>
      </c>
      <c r="L17" s="165">
        <v>54747327</v>
      </c>
      <c r="M17" s="171">
        <f t="shared" ref="M17:M24" si="3">L17/K17</f>
        <v>0.441469449141071</v>
      </c>
      <c r="N17" s="161">
        <v>130863490</v>
      </c>
      <c r="O17" s="161">
        <v>74294017</v>
      </c>
      <c r="P17" s="161">
        <v>131364776</v>
      </c>
      <c r="Q17" s="12">
        <f>O17/P17</f>
        <v>0.56555508456848436</v>
      </c>
      <c r="R17" s="11">
        <v>130450730</v>
      </c>
      <c r="S17" s="11">
        <v>61761935.259999998</v>
      </c>
      <c r="T17" s="166">
        <v>130271144</v>
      </c>
      <c r="U17" s="12">
        <f t="shared" ref="U17:U24" si="4">(S17/T17)</f>
        <v>0.47410296220320286</v>
      </c>
      <c r="V17" s="11">
        <f>'FY 2009 Rev 01-04-10'!E3</f>
        <v>119221816</v>
      </c>
      <c r="W17" s="11">
        <f>SUM('FY 2009 Rev 01-04-10'!F3:H3)</f>
        <v>52785336.5</v>
      </c>
      <c r="X17" s="11">
        <v>119981009</v>
      </c>
      <c r="Y17" s="12">
        <f t="shared" ref="Y17:Y24" si="5">W17/X17</f>
        <v>0.43994742951361576</v>
      </c>
      <c r="Z17" s="11">
        <f>'FY 2008 Rev 01-04-10'!E3</f>
        <v>106565989</v>
      </c>
      <c r="AA17" s="11">
        <f>SUM('FY 2008 Rev 01-04-10'!F3:H3)</f>
        <v>52307073</v>
      </c>
      <c r="AB17" s="11">
        <f>'FY 2008 Rev 01-04-10'!D3</f>
        <v>117399101.34999999</v>
      </c>
      <c r="AC17" s="12">
        <f t="shared" ref="AC17:AC24" si="6">AA17/AB17</f>
        <v>0.4455491771104601</v>
      </c>
    </row>
    <row r="18" spans="1:29" ht="15.75" customHeight="1">
      <c r="A18" s="215" t="s">
        <v>102</v>
      </c>
      <c r="B18" s="215"/>
      <c r="C18" s="11">
        <f t="shared" ref="C18:C23" si="7">K18</f>
        <v>4000</v>
      </c>
      <c r="D18" s="11">
        <f t="shared" ref="D18:D23" si="8">L18</f>
        <v>2500</v>
      </c>
      <c r="E18" s="12">
        <f>(D18/C18)</f>
        <v>0.625</v>
      </c>
      <c r="F18" s="22">
        <f>D18-G18</f>
        <v>1500</v>
      </c>
      <c r="G18" s="14">
        <f>C18*0.25</f>
        <v>1000</v>
      </c>
      <c r="H18" s="15">
        <f t="shared" si="2"/>
        <v>1500</v>
      </c>
      <c r="I18" s="10">
        <v>0.25</v>
      </c>
      <c r="J18" s="21" t="str">
        <f t="shared" ref="J18:J23" si="9">A18</f>
        <v>License / Permits</v>
      </c>
      <c r="K18" s="165">
        <v>4000</v>
      </c>
      <c r="L18" s="165">
        <v>2500</v>
      </c>
      <c r="M18" s="171">
        <f t="shared" si="3"/>
        <v>0.625</v>
      </c>
      <c r="N18" s="161">
        <v>4000</v>
      </c>
      <c r="O18" s="161">
        <v>1500</v>
      </c>
      <c r="P18" s="161">
        <v>6000</v>
      </c>
      <c r="Q18" s="12">
        <f t="shared" ref="Q18:Q24" si="10">O18/P18</f>
        <v>0.25</v>
      </c>
      <c r="R18" s="16">
        <f>C18</f>
        <v>4000</v>
      </c>
      <c r="S18" s="28">
        <v>500</v>
      </c>
      <c r="T18" s="165">
        <v>2500</v>
      </c>
      <c r="U18" s="12">
        <f t="shared" si="4"/>
        <v>0.2</v>
      </c>
      <c r="V18" s="28">
        <f>'FY 2009 Rev 01-04-10'!E6</f>
        <v>4000</v>
      </c>
      <c r="W18" s="28">
        <f>SUM('FY 2009 Rev 01-04-10'!F6:H6)</f>
        <v>1000</v>
      </c>
      <c r="X18" s="28">
        <f>'FY 2009 Rev 01-04-10'!D6</f>
        <v>4000</v>
      </c>
      <c r="Y18" s="12">
        <f t="shared" si="5"/>
        <v>0.25</v>
      </c>
      <c r="Z18" s="28">
        <f>'FY 2008 Rev 01-04-10'!E6</f>
        <v>4200</v>
      </c>
      <c r="AA18" s="28">
        <f>SUM('FY 2008 Rev 01-04-10'!F6:H6)</f>
        <v>1000</v>
      </c>
      <c r="AB18" s="28">
        <f>'FY 2008 Rev 01-04-10'!D6</f>
        <v>4000</v>
      </c>
      <c r="AC18" s="12">
        <f t="shared" si="6"/>
        <v>0.25</v>
      </c>
    </row>
    <row r="19" spans="1:29" ht="15.75" customHeight="1">
      <c r="A19" s="215" t="s">
        <v>55</v>
      </c>
      <c r="B19" s="215"/>
      <c r="C19" s="11">
        <f t="shared" si="7"/>
        <v>3186800</v>
      </c>
      <c r="D19" s="11">
        <f t="shared" si="8"/>
        <v>1528534</v>
      </c>
      <c r="E19" s="12">
        <f t="shared" si="0"/>
        <v>0.47964541232584412</v>
      </c>
      <c r="F19" s="22">
        <f t="shared" si="1"/>
        <v>731834</v>
      </c>
      <c r="G19" s="27">
        <f t="shared" ref="G19:G24" si="11">C19*0.25</f>
        <v>796700</v>
      </c>
      <c r="H19" s="27">
        <f t="shared" si="2"/>
        <v>1658266</v>
      </c>
      <c r="I19" s="10">
        <v>0.25</v>
      </c>
      <c r="J19" s="21" t="str">
        <f t="shared" si="9"/>
        <v>Intergovernmental Revenue</v>
      </c>
      <c r="K19" s="165">
        <v>3186800</v>
      </c>
      <c r="L19" s="165">
        <v>1528534</v>
      </c>
      <c r="M19" s="171">
        <f t="shared" si="3"/>
        <v>0.47964541232584412</v>
      </c>
      <c r="N19" s="161">
        <v>3312377</v>
      </c>
      <c r="O19" s="161">
        <f>3800+197798.63</f>
        <v>201598.63</v>
      </c>
      <c r="P19" s="161">
        <v>3356039</v>
      </c>
      <c r="Q19" s="12">
        <f t="shared" si="10"/>
        <v>6.0070407405873411E-2</v>
      </c>
      <c r="R19" s="16">
        <v>3547135</v>
      </c>
      <c r="S19" s="28">
        <v>128087.4</v>
      </c>
      <c r="T19" s="165">
        <v>3908666</v>
      </c>
      <c r="U19" s="12">
        <f t="shared" si="4"/>
        <v>3.2770106220383115E-2</v>
      </c>
      <c r="V19" s="28">
        <f>'FY 2009 Rev 01-04-10'!E11</f>
        <v>3678780</v>
      </c>
      <c r="W19" s="28">
        <f>SUM('FY 2009 Rev 01-04-10'!F11:H11)</f>
        <v>245038.35</v>
      </c>
      <c r="X19" s="28">
        <f>'FY 2009 Rev 01-04-10'!D11</f>
        <v>3992954.02</v>
      </c>
      <c r="Y19" s="12">
        <f t="shared" si="5"/>
        <v>6.1367686372707092E-2</v>
      </c>
      <c r="Z19" s="28">
        <f>'FY 2008 Rev 01-04-10'!E11</f>
        <v>3079080</v>
      </c>
      <c r="AA19" s="28">
        <f>SUM('FY 2008 Rev 01-04-10'!F11:H11)</f>
        <v>568863.37</v>
      </c>
      <c r="AB19" s="28">
        <f>'FY 2008 Rev 01-04-10'!D11</f>
        <v>3979230.29</v>
      </c>
      <c r="AC19" s="12">
        <f t="shared" si="6"/>
        <v>0.14295814228937226</v>
      </c>
    </row>
    <row r="20" spans="1:29" ht="15.75" customHeight="1">
      <c r="A20" s="215" t="s">
        <v>2</v>
      </c>
      <c r="B20" s="215"/>
      <c r="C20" s="11">
        <f t="shared" si="7"/>
        <v>16144661</v>
      </c>
      <c r="D20" s="11">
        <f t="shared" si="8"/>
        <v>3525127</v>
      </c>
      <c r="E20" s="12">
        <f t="shared" si="0"/>
        <v>0.21834630036517955</v>
      </c>
      <c r="F20" s="22">
        <f t="shared" si="1"/>
        <v>-511038.25</v>
      </c>
      <c r="G20" s="27">
        <f t="shared" si="11"/>
        <v>4036165.25</v>
      </c>
      <c r="H20" s="27">
        <f t="shared" si="2"/>
        <v>12619534</v>
      </c>
      <c r="I20" s="10">
        <v>0.25</v>
      </c>
      <c r="J20" s="21" t="str">
        <f t="shared" si="9"/>
        <v>Fees/Charges for Services</v>
      </c>
      <c r="K20" s="165">
        <v>16144661</v>
      </c>
      <c r="L20" s="165">
        <v>3525127</v>
      </c>
      <c r="M20" s="171">
        <f t="shared" si="3"/>
        <v>0.21834630036517955</v>
      </c>
      <c r="N20" s="161">
        <v>15205012</v>
      </c>
      <c r="O20" s="161">
        <f>1087572+895622+1413119+9300+52967</f>
        <v>3458580</v>
      </c>
      <c r="P20" s="161">
        <v>15750927</v>
      </c>
      <c r="Q20" s="12">
        <f t="shared" si="10"/>
        <v>0.219579457132904</v>
      </c>
      <c r="R20" s="16">
        <v>16957104</v>
      </c>
      <c r="S20" s="28">
        <v>2965404.33</v>
      </c>
      <c r="T20" s="165">
        <v>15217085</v>
      </c>
      <c r="U20" s="12">
        <f t="shared" si="4"/>
        <v>0.19487334992214345</v>
      </c>
      <c r="V20" s="28">
        <f>'FY 2009 Rev 01-04-10'!E18</f>
        <v>19143500</v>
      </c>
      <c r="W20" s="28">
        <f>SUM('FY 2009 Rev 01-04-10'!F18:H18)</f>
        <v>3104705.13</v>
      </c>
      <c r="X20" s="28">
        <f>'FY 2009 Rev 01-04-10'!D18</f>
        <v>15850676.109999999</v>
      </c>
      <c r="Y20" s="12">
        <f t="shared" si="5"/>
        <v>0.1958720945689679</v>
      </c>
      <c r="Z20" s="28">
        <f>'FY 2008 Rev 01-04-10'!E18</f>
        <v>16631625</v>
      </c>
      <c r="AA20" s="28">
        <f>SUM('FY 2008 Rev 01-04-10'!F18:H18)</f>
        <v>3862473</v>
      </c>
      <c r="AB20" s="28">
        <f>'FY 2008 Rev 01-04-10'!D18</f>
        <v>15930660.34</v>
      </c>
      <c r="AC20" s="12">
        <f t="shared" si="6"/>
        <v>0.24245529799551296</v>
      </c>
    </row>
    <row r="21" spans="1:29" ht="15.75" customHeight="1">
      <c r="A21" s="215" t="s">
        <v>4</v>
      </c>
      <c r="B21" s="215"/>
      <c r="C21" s="11">
        <f t="shared" si="7"/>
        <v>1881000</v>
      </c>
      <c r="D21" s="11">
        <f t="shared" si="8"/>
        <v>432226</v>
      </c>
      <c r="E21" s="12">
        <f t="shared" si="0"/>
        <v>0.2297852206273259</v>
      </c>
      <c r="F21" s="22">
        <f t="shared" si="1"/>
        <v>-38024</v>
      </c>
      <c r="G21" s="27">
        <f t="shared" si="11"/>
        <v>470250</v>
      </c>
      <c r="H21" s="27">
        <f t="shared" si="2"/>
        <v>1448774</v>
      </c>
      <c r="I21" s="10">
        <v>0.25</v>
      </c>
      <c r="J21" s="21" t="str">
        <f t="shared" si="9"/>
        <v>Fines</v>
      </c>
      <c r="K21" s="165">
        <v>1881000</v>
      </c>
      <c r="L21" s="165">
        <v>432226</v>
      </c>
      <c r="M21" s="171">
        <f t="shared" si="3"/>
        <v>0.2297852206273259</v>
      </c>
      <c r="N21" s="161">
        <v>1748000</v>
      </c>
      <c r="O21" s="161">
        <v>355150</v>
      </c>
      <c r="P21" s="161">
        <v>1992671</v>
      </c>
      <c r="Q21" s="12">
        <f t="shared" si="10"/>
        <v>0.17822811693450649</v>
      </c>
      <c r="R21" s="16">
        <v>2301020</v>
      </c>
      <c r="S21" s="28">
        <v>382802.16</v>
      </c>
      <c r="T21" s="165">
        <v>1821451</v>
      </c>
      <c r="U21" s="12">
        <f t="shared" si="4"/>
        <v>0.21016330387147389</v>
      </c>
      <c r="V21" s="28">
        <f>'FY 2009 Rev 01-04-10'!E20</f>
        <v>2771000</v>
      </c>
      <c r="W21" s="28">
        <f>SUM('FY 2009 Rev 01-04-10'!F20:H20)</f>
        <v>513924.79000000004</v>
      </c>
      <c r="X21" s="28">
        <f>'FY 2009 Rev 01-04-10'!D20</f>
        <v>2270389.13</v>
      </c>
      <c r="Y21" s="12">
        <f t="shared" si="5"/>
        <v>0.22635978265100312</v>
      </c>
      <c r="Z21" s="28">
        <f>'FY 2008 Rev 01-04-10'!E20</f>
        <v>2967500</v>
      </c>
      <c r="AA21" s="28">
        <f>SUM('FY 2008 Rev 01-04-10'!F20:H20)</f>
        <v>563204.65</v>
      </c>
      <c r="AB21" s="28">
        <f>'FY 2008 Rev 01-04-10'!D20</f>
        <v>2688475.7</v>
      </c>
      <c r="AC21" s="12">
        <f t="shared" si="6"/>
        <v>0.20948846589909664</v>
      </c>
    </row>
    <row r="22" spans="1:29" ht="15.75" customHeight="1">
      <c r="A22" s="215" t="s">
        <v>3</v>
      </c>
      <c r="B22" s="215"/>
      <c r="C22" s="11">
        <f t="shared" si="7"/>
        <v>2019600</v>
      </c>
      <c r="D22" s="11">
        <f t="shared" si="8"/>
        <v>175864</v>
      </c>
      <c r="E22" s="12">
        <f t="shared" si="0"/>
        <v>8.7078629431570603E-2</v>
      </c>
      <c r="F22" s="22">
        <f t="shared" si="1"/>
        <v>-329036</v>
      </c>
      <c r="G22" s="26">
        <f t="shared" si="11"/>
        <v>504900</v>
      </c>
      <c r="H22" s="27">
        <f t="shared" si="2"/>
        <v>1843736</v>
      </c>
      <c r="I22" s="10">
        <v>0.25</v>
      </c>
      <c r="J22" s="21" t="str">
        <f t="shared" si="9"/>
        <v>Investment Revenue</v>
      </c>
      <c r="K22" s="165">
        <v>2019600</v>
      </c>
      <c r="L22" s="165">
        <v>175864</v>
      </c>
      <c r="M22" s="171">
        <f t="shared" si="3"/>
        <v>8.7078629431570603E-2</v>
      </c>
      <c r="N22" s="161">
        <v>1119600</v>
      </c>
      <c r="O22" s="161">
        <f>461048+9251</f>
        <v>470299</v>
      </c>
      <c r="P22" s="161">
        <v>2040386</v>
      </c>
      <c r="Q22" s="12">
        <f t="shared" si="10"/>
        <v>0.23049511219935837</v>
      </c>
      <c r="R22" s="16">
        <v>3133290</v>
      </c>
      <c r="S22" s="28">
        <v>300010.57</v>
      </c>
      <c r="T22" s="165">
        <v>2192285</v>
      </c>
      <c r="U22" s="12">
        <f t="shared" si="4"/>
        <v>0.13684834316706085</v>
      </c>
      <c r="V22" s="28">
        <f>'FY 2009 Rev 01-04-10'!E23</f>
        <v>5168400</v>
      </c>
      <c r="W22" s="28">
        <f>SUM('FY 2009 Rev 01-04-10'!F23:H23)</f>
        <v>803625.85000000009</v>
      </c>
      <c r="X22" s="28">
        <v>3458264</v>
      </c>
      <c r="Y22" s="12">
        <f t="shared" si="5"/>
        <v>0.23237839852596565</v>
      </c>
      <c r="Z22" s="28">
        <f>'FY 2008 Rev 01-04-10'!E23</f>
        <v>6994800</v>
      </c>
      <c r="AA22" s="28">
        <f>SUM('FY 2008 Rev 01-04-10'!F23:H23)</f>
        <v>1345073.2</v>
      </c>
      <c r="AB22" s="28">
        <f>'FY 2008 Rev 01-04-10'!D23</f>
        <v>6575786.3600000003</v>
      </c>
      <c r="AC22" s="12">
        <f t="shared" si="6"/>
        <v>0.20454940692446705</v>
      </c>
    </row>
    <row r="23" spans="1:29" ht="15.75" customHeight="1" thickBot="1">
      <c r="A23" s="215" t="s">
        <v>27</v>
      </c>
      <c r="B23" s="215"/>
      <c r="C23" s="11">
        <f t="shared" si="7"/>
        <v>547000</v>
      </c>
      <c r="D23" s="11">
        <f t="shared" si="8"/>
        <v>57771</v>
      </c>
      <c r="E23" s="12">
        <f t="shared" si="0"/>
        <v>0.10561425959780621</v>
      </c>
      <c r="F23" s="22">
        <f t="shared" si="1"/>
        <v>-78979</v>
      </c>
      <c r="G23" s="27">
        <f t="shared" si="11"/>
        <v>136750</v>
      </c>
      <c r="H23" s="27">
        <f t="shared" si="2"/>
        <v>489229</v>
      </c>
      <c r="I23" s="10">
        <v>0.25</v>
      </c>
      <c r="J23" s="21" t="str">
        <f t="shared" si="9"/>
        <v>Miscellaneous</v>
      </c>
      <c r="K23" s="167">
        <v>547000</v>
      </c>
      <c r="L23" s="167">
        <f>39563+18208</f>
        <v>57771</v>
      </c>
      <c r="M23" s="174">
        <f t="shared" si="3"/>
        <v>0.10561425959780621</v>
      </c>
      <c r="N23" s="162">
        <v>463840</v>
      </c>
      <c r="O23" s="162">
        <v>169386</v>
      </c>
      <c r="P23" s="162">
        <f>735348+26986</f>
        <v>762334</v>
      </c>
      <c r="Q23" s="152">
        <f t="shared" si="10"/>
        <v>0.22219394648539878</v>
      </c>
      <c r="R23" s="117">
        <f>519135+45000</f>
        <v>564135</v>
      </c>
      <c r="S23" s="118">
        <v>126744.71</v>
      </c>
      <c r="T23" s="167">
        <f>574051+220348</f>
        <v>794399</v>
      </c>
      <c r="U23" s="152">
        <f t="shared" si="4"/>
        <v>0.1595479223916445</v>
      </c>
      <c r="V23" s="118">
        <f>'FY 2009 Rev 01-04-10'!E25+'FY 2009 Rev 01-04-10'!E29+'FY 2009 Rev 01-04-10'!E32</f>
        <v>499810</v>
      </c>
      <c r="W23" s="118">
        <f>SUM('FY 2009 Rev 01-04-10'!F25:H25,'FY 2009 Rev 01-04-10'!F29:H29,'FY 2009 Rev 01-04-10'!F32:H32)</f>
        <v>188898.59</v>
      </c>
      <c r="X23" s="118">
        <f>797689+241752</f>
        <v>1039441</v>
      </c>
      <c r="Y23" s="152">
        <f t="shared" si="5"/>
        <v>0.18173093999563225</v>
      </c>
      <c r="Z23" s="118">
        <f>'FY 2008 Rev 01-04-10'!E25+'FY 2008 Rev 01-04-10'!E29+'FY 2008 Rev 01-04-10'!E32</f>
        <v>500000</v>
      </c>
      <c r="AA23" s="118">
        <f>SUM('FY 2008 Rev 01-04-10'!F25:H25,'FY 2008 Rev 01-04-10'!F29:H29,'FY 2008 Rev 01-04-10'!F32:H32)</f>
        <v>100219.29</v>
      </c>
      <c r="AB23" s="118">
        <f>'FY 2008 Rev 01-04-10'!D25+'FY 2008 Rev 01-04-10'!D29+'FY 2008 Rev 01-04-10'!D32</f>
        <v>2058982.75</v>
      </c>
      <c r="AC23" s="152">
        <f t="shared" si="6"/>
        <v>4.8674176604927843E-2</v>
      </c>
    </row>
    <row r="24" spans="1:29" ht="15.75" customHeight="1" thickBot="1">
      <c r="A24" s="216" t="s">
        <v>28</v>
      </c>
      <c r="B24" s="216"/>
      <c r="C24" s="11">
        <f>SUM(C17:C23)</f>
        <v>147794648</v>
      </c>
      <c r="D24" s="11">
        <f>SUM(D17:D23)</f>
        <v>60469349</v>
      </c>
      <c r="E24" s="12">
        <f t="shared" si="0"/>
        <v>0.40914437578280916</v>
      </c>
      <c r="F24" s="17">
        <f>SUM(F17:F23)</f>
        <v>23520687</v>
      </c>
      <c r="G24" s="27">
        <f t="shared" si="11"/>
        <v>36948662</v>
      </c>
      <c r="H24" s="27"/>
      <c r="J24" s="21"/>
      <c r="K24" s="172">
        <f>SUM(K17:K23)</f>
        <v>147794648</v>
      </c>
      <c r="L24" s="172">
        <f>SUM(L17:L23)</f>
        <v>60469349</v>
      </c>
      <c r="M24" s="173">
        <f t="shared" si="3"/>
        <v>0.40914437578280916</v>
      </c>
      <c r="N24" s="164">
        <f>SUM(N17:N23)</f>
        <v>152716319</v>
      </c>
      <c r="O24" s="160">
        <f>SUM(O17:O23)</f>
        <v>78950530.629999995</v>
      </c>
      <c r="P24" s="160">
        <f>SUM(P17:P23)</f>
        <v>155273133</v>
      </c>
      <c r="Q24" s="153">
        <f t="shared" si="10"/>
        <v>0.50846227614921635</v>
      </c>
      <c r="R24" s="116">
        <f>SUM(R17:R23)</f>
        <v>156957414</v>
      </c>
      <c r="S24" s="116">
        <f>SUM(S17:S23)</f>
        <v>65665484.429999992</v>
      </c>
      <c r="T24" s="116">
        <f>SUM(T17:T23)</f>
        <v>154207530</v>
      </c>
      <c r="U24" s="153">
        <f t="shared" si="4"/>
        <v>0.42582540833122734</v>
      </c>
      <c r="V24" s="116">
        <f>SUM(V17:V23)</f>
        <v>150487306</v>
      </c>
      <c r="W24" s="116">
        <f>SUM(W17:W23)</f>
        <v>57642529.210000008</v>
      </c>
      <c r="X24" s="116">
        <f>SUM(X17:X23)</f>
        <v>146596733.25999999</v>
      </c>
      <c r="Y24" s="153">
        <f t="shared" si="5"/>
        <v>0.39320473197562172</v>
      </c>
      <c r="Z24" s="116">
        <f>SUM(Z17:Z23)</f>
        <v>136743194</v>
      </c>
      <c r="AA24" s="116">
        <f>SUM(AA17:AA23)</f>
        <v>58747906.509999998</v>
      </c>
      <c r="AB24" s="116">
        <f>SUM(AB17:AB23)</f>
        <v>148636236.78999999</v>
      </c>
      <c r="AC24" s="153">
        <f t="shared" si="6"/>
        <v>0.39524619149906021</v>
      </c>
    </row>
    <row r="25" spans="1:29" ht="22.5" customHeight="1" thickTop="1">
      <c r="J25" s="21"/>
      <c r="K25" s="26"/>
    </row>
    <row r="26" spans="1:29">
      <c r="J26" s="21"/>
      <c r="K26" s="26"/>
    </row>
    <row r="31" spans="1:29">
      <c r="H31" s="15"/>
    </row>
    <row r="32" spans="1:29">
      <c r="H32" s="14"/>
    </row>
    <row r="40" spans="1:34">
      <c r="J40" s="135"/>
      <c r="K40" s="135"/>
    </row>
    <row r="41" spans="1:34">
      <c r="J41" s="135"/>
      <c r="K41" s="135"/>
    </row>
    <row r="42" spans="1:34">
      <c r="J42" s="135"/>
      <c r="K42" s="135"/>
    </row>
    <row r="43" spans="1:34">
      <c r="J43" s="135"/>
      <c r="K43" s="135"/>
    </row>
    <row r="44" spans="1:34">
      <c r="J44" s="135"/>
      <c r="K44" s="135"/>
    </row>
    <row r="45" spans="1:34">
      <c r="J45" s="135"/>
      <c r="K45" s="135"/>
    </row>
    <row r="46" spans="1:34" ht="33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4" ht="12" customHeight="1">
      <c r="B47" s="18"/>
      <c r="C47" s="18"/>
      <c r="D47" s="18"/>
      <c r="E47" s="18"/>
      <c r="J47" s="135"/>
      <c r="K47" s="135"/>
    </row>
    <row r="48" spans="1:34" ht="36" customHeight="1">
      <c r="A48" s="217"/>
      <c r="B48" s="217"/>
      <c r="C48" s="19" t="s">
        <v>183</v>
      </c>
      <c r="D48" s="19" t="s">
        <v>190</v>
      </c>
      <c r="E48" s="19" t="s">
        <v>25</v>
      </c>
      <c r="F48" s="9" t="s">
        <v>13</v>
      </c>
      <c r="G48" s="10">
        <v>0.25</v>
      </c>
      <c r="H48" s="2" t="s">
        <v>45</v>
      </c>
      <c r="K48" s="154" t="s">
        <v>183</v>
      </c>
      <c r="L48" s="150" t="s">
        <v>188</v>
      </c>
      <c r="M48" s="151">
        <v>2012</v>
      </c>
      <c r="N48" s="150" t="s">
        <v>189</v>
      </c>
      <c r="O48" s="154" t="s">
        <v>143</v>
      </c>
      <c r="P48" s="150" t="s">
        <v>148</v>
      </c>
      <c r="Q48" s="151">
        <v>2011</v>
      </c>
      <c r="R48" s="150" t="s">
        <v>147</v>
      </c>
      <c r="S48" s="154" t="s">
        <v>99</v>
      </c>
      <c r="T48" s="150" t="s">
        <v>146</v>
      </c>
      <c r="U48" s="151">
        <v>2010</v>
      </c>
      <c r="V48" s="150" t="s">
        <v>116</v>
      </c>
      <c r="W48" s="150" t="s">
        <v>1</v>
      </c>
      <c r="X48" s="150" t="s">
        <v>117</v>
      </c>
      <c r="Y48" s="151">
        <v>2009</v>
      </c>
      <c r="Z48" s="150" t="s">
        <v>118</v>
      </c>
      <c r="AA48" s="150">
        <v>2009</v>
      </c>
      <c r="AB48" s="150" t="s">
        <v>119</v>
      </c>
      <c r="AC48" s="150" t="s">
        <v>111</v>
      </c>
      <c r="AD48" s="150" t="s">
        <v>120</v>
      </c>
      <c r="AE48" s="151">
        <v>2008</v>
      </c>
      <c r="AF48" s="150" t="s">
        <v>121</v>
      </c>
      <c r="AG48" s="150">
        <v>2008</v>
      </c>
      <c r="AH48" s="150" t="s">
        <v>122</v>
      </c>
    </row>
    <row r="49" spans="1:34" ht="15.75" customHeight="1">
      <c r="A49" s="218" t="s">
        <v>30</v>
      </c>
      <c r="B49" s="219"/>
      <c r="C49" s="11">
        <f>K49</f>
        <v>260248</v>
      </c>
      <c r="D49" s="11">
        <f>L49</f>
        <v>70132</v>
      </c>
      <c r="E49" s="12">
        <f t="shared" ref="E49:E60" si="12">(D49/C49)</f>
        <v>0.26948141772463191</v>
      </c>
      <c r="F49" s="22">
        <f>+G49-D49</f>
        <v>-5070</v>
      </c>
      <c r="G49" s="23">
        <f>C49*0.25</f>
        <v>65062</v>
      </c>
      <c r="H49" s="24">
        <f t="shared" ref="H49:H59" si="13">C49-D49</f>
        <v>190116</v>
      </c>
      <c r="I49" s="1">
        <v>0.25</v>
      </c>
      <c r="J49" s="135" t="s">
        <v>30</v>
      </c>
      <c r="K49" s="13">
        <v>260248</v>
      </c>
      <c r="L49" s="13">
        <v>70132</v>
      </c>
      <c r="M49" s="155">
        <f t="shared" ref="M49:M60" si="14">(L49/K49)</f>
        <v>0.26948141772463191</v>
      </c>
      <c r="N49" s="13">
        <f>K49-L49</f>
        <v>190116</v>
      </c>
      <c r="O49" s="13">
        <v>315395</v>
      </c>
      <c r="P49" s="13">
        <v>56380</v>
      </c>
      <c r="Q49" s="155">
        <f t="shared" ref="Q49:Q60" si="15">(P49/O49)</f>
        <v>0.17875996765960145</v>
      </c>
      <c r="R49" s="13">
        <f>O49-P49</f>
        <v>259015</v>
      </c>
      <c r="S49" s="13">
        <v>302496</v>
      </c>
      <c r="T49" s="13">
        <v>60196.95</v>
      </c>
      <c r="U49" s="155">
        <f t="shared" ref="U49:U60" si="16">(T49/S49)</f>
        <v>0.19900081323389399</v>
      </c>
      <c r="V49" s="13">
        <f>S49-T49</f>
        <v>242299.05</v>
      </c>
      <c r="W49" s="13">
        <f>'FY 2009 Exp 01-06-10'!C2</f>
        <v>307595</v>
      </c>
      <c r="X49" s="13">
        <f>SUM('FY 2009 Exp 01-06-10'!F2:H2)</f>
        <v>51110.89</v>
      </c>
      <c r="Y49" s="155">
        <f>X49/W49</f>
        <v>0.16616294153025896</v>
      </c>
      <c r="Z49" s="13">
        <f>'FY 2009 Exp 01-06-10'!D2</f>
        <v>307595</v>
      </c>
      <c r="AA49" s="155">
        <f>X49/Z49</f>
        <v>0.16616294153025896</v>
      </c>
      <c r="AB49" s="13">
        <f>W49-X49</f>
        <v>256484.11</v>
      </c>
      <c r="AC49" s="13">
        <f>'FY 2008 Exp 01-06-10'!C2</f>
        <v>326242</v>
      </c>
      <c r="AD49" s="13">
        <f>SUM('FY 2008 Exp 01-06-10'!F2:H2)</f>
        <v>44814.880000000005</v>
      </c>
      <c r="AE49" s="155">
        <f>AD49/AC49</f>
        <v>0.13736698524408264</v>
      </c>
      <c r="AF49" s="13">
        <f>'FY 2008 Exp 01-06-10'!D2</f>
        <v>326266</v>
      </c>
      <c r="AG49" s="155">
        <f>AD49/AF49</f>
        <v>0.13735688058210174</v>
      </c>
      <c r="AH49" s="13">
        <f>AC49-AD49</f>
        <v>281427.12</v>
      </c>
    </row>
    <row r="50" spans="1:34" ht="15.75" customHeight="1">
      <c r="A50" s="218" t="s">
        <v>123</v>
      </c>
      <c r="B50" s="219"/>
      <c r="C50" s="11">
        <f t="shared" ref="C50:C59" si="17">K50</f>
        <v>376370</v>
      </c>
      <c r="D50" s="11">
        <f t="shared" ref="D50:D59" si="18">L50</f>
        <v>3802</v>
      </c>
      <c r="E50" s="12">
        <f t="shared" si="12"/>
        <v>1.0101761564417992E-2</v>
      </c>
      <c r="F50" s="22">
        <f t="shared" ref="F50:F60" si="19">+G50-D50</f>
        <v>90290.5</v>
      </c>
      <c r="G50" s="25">
        <f t="shared" ref="G50:G60" si="20">C50*0.25</f>
        <v>94092.5</v>
      </c>
      <c r="H50" s="25">
        <f t="shared" si="13"/>
        <v>372568</v>
      </c>
      <c r="I50" s="1">
        <v>0.25</v>
      </c>
      <c r="J50" s="135" t="s">
        <v>123</v>
      </c>
      <c r="K50" s="156">
        <v>376370</v>
      </c>
      <c r="L50" s="156">
        <v>3802</v>
      </c>
      <c r="M50" s="155">
        <f t="shared" si="14"/>
        <v>1.0101761564417992E-2</v>
      </c>
      <c r="N50" s="156">
        <f t="shared" ref="N50:N59" si="21">K50-L50</f>
        <v>372568</v>
      </c>
      <c r="O50" s="156">
        <v>376370</v>
      </c>
      <c r="P50" s="156">
        <v>155301</v>
      </c>
      <c r="Q50" s="155">
        <f t="shared" si="15"/>
        <v>0.4126285304354757</v>
      </c>
      <c r="R50" s="156">
        <f t="shared" ref="R50:R59" si="22">O50-P50</f>
        <v>221069</v>
      </c>
      <c r="S50" s="156">
        <v>411370</v>
      </c>
      <c r="T50" s="156">
        <v>53040.800000000003</v>
      </c>
      <c r="U50" s="155">
        <f t="shared" si="16"/>
        <v>0.12893696672095681</v>
      </c>
      <c r="V50" s="156">
        <f t="shared" ref="V50:V59" si="23">S50-T50</f>
        <v>358329.2</v>
      </c>
      <c r="W50" s="156">
        <f>'FY 2009 Exp 01-06-10'!C3</f>
        <v>510370</v>
      </c>
      <c r="X50" s="156">
        <f>SUM('FY 2009 Exp 01-06-10'!F3:H3)</f>
        <v>220612.56</v>
      </c>
      <c r="Y50" s="155">
        <f t="shared" ref="Y50:Y60" si="24">X50/W50</f>
        <v>0.43226004663283502</v>
      </c>
      <c r="Z50" s="156">
        <f>'FY 2009 Exp 01-06-10'!D3</f>
        <v>575162</v>
      </c>
      <c r="AA50" s="155">
        <f t="shared" ref="AA50:AA60" si="25">X50/Z50</f>
        <v>0.38356595185356473</v>
      </c>
      <c r="AB50" s="13">
        <f t="shared" ref="AB50:AB59" si="26">W50-X50</f>
        <v>289757.44</v>
      </c>
      <c r="AC50" s="156">
        <f>'FY 2008 Exp 01-06-10'!C3</f>
        <v>461110</v>
      </c>
      <c r="AD50" s="156">
        <f>SUM('FY 2008 Exp 01-06-10'!F3:H3)</f>
        <v>201003.53999999998</v>
      </c>
      <c r="AE50" s="155">
        <f t="shared" ref="AE50:AE60" si="27">AD50/AC50</f>
        <v>0.43591234195745043</v>
      </c>
      <c r="AF50" s="156">
        <f>'FY 2008 Exp 01-06-10'!D3</f>
        <v>497765</v>
      </c>
      <c r="AG50" s="155">
        <f t="shared" ref="AG50:AG60" si="28">AD50/AF50</f>
        <v>0.40381212017719198</v>
      </c>
      <c r="AH50" s="13">
        <f t="shared" ref="AH50:AH59" si="29">AC50-AD50</f>
        <v>260106.46000000002</v>
      </c>
    </row>
    <row r="51" spans="1:34" ht="15.75" customHeight="1">
      <c r="A51" s="218" t="s">
        <v>31</v>
      </c>
      <c r="B51" s="219"/>
      <c r="C51" s="11">
        <f t="shared" si="17"/>
        <v>3539581</v>
      </c>
      <c r="D51" s="11">
        <f t="shared" si="18"/>
        <v>632824</v>
      </c>
      <c r="E51" s="12">
        <f t="shared" si="12"/>
        <v>0.17878500308369832</v>
      </c>
      <c r="F51" s="22">
        <f t="shared" si="19"/>
        <v>252071.25</v>
      </c>
      <c r="G51" s="25">
        <f t="shared" si="20"/>
        <v>884895.25</v>
      </c>
      <c r="H51" s="25">
        <f t="shared" si="13"/>
        <v>2906757</v>
      </c>
      <c r="I51" s="1">
        <v>0.25</v>
      </c>
      <c r="J51" s="135" t="s">
        <v>31</v>
      </c>
      <c r="K51" s="156">
        <v>3539581</v>
      </c>
      <c r="L51" s="156">
        <v>632824</v>
      </c>
      <c r="M51" s="155">
        <f t="shared" si="14"/>
        <v>0.17878500308369832</v>
      </c>
      <c r="N51" s="156">
        <f t="shared" si="21"/>
        <v>2906757</v>
      </c>
      <c r="O51" s="156">
        <v>2892101</v>
      </c>
      <c r="P51" s="156">
        <v>409939</v>
      </c>
      <c r="Q51" s="155">
        <f t="shared" si="15"/>
        <v>0.14174435816729775</v>
      </c>
      <c r="R51" s="156">
        <f t="shared" si="22"/>
        <v>2482162</v>
      </c>
      <c r="S51" s="156">
        <v>3263326</v>
      </c>
      <c r="T51" s="156">
        <v>397662.91</v>
      </c>
      <c r="U51" s="155">
        <f t="shared" si="16"/>
        <v>0.12185816250046731</v>
      </c>
      <c r="V51" s="156">
        <f t="shared" si="23"/>
        <v>2865663.09</v>
      </c>
      <c r="W51" s="156">
        <f>'FY 2009 Exp 01-06-10'!C5</f>
        <v>3360551</v>
      </c>
      <c r="X51" s="156">
        <f>SUM('FY 2009 Exp 01-06-10'!F5:H5)</f>
        <v>413309.75</v>
      </c>
      <c r="Y51" s="155">
        <f t="shared" si="24"/>
        <v>0.12298868548639791</v>
      </c>
      <c r="Z51" s="156">
        <f>'FY 2009 Exp 01-06-10'!D5</f>
        <v>3258569</v>
      </c>
      <c r="AA51" s="155">
        <f t="shared" si="25"/>
        <v>0.12683780825264096</v>
      </c>
      <c r="AB51" s="13">
        <f t="shared" si="26"/>
        <v>2947241.25</v>
      </c>
      <c r="AC51" s="156">
        <f>'FY 2008 Exp 01-06-10'!C5</f>
        <v>2433415</v>
      </c>
      <c r="AD51" s="156">
        <f>SUM('FY 2008 Exp 01-06-10'!F5:H5)</f>
        <v>459684.51</v>
      </c>
      <c r="AE51" s="155">
        <f t="shared" si="27"/>
        <v>0.1889051024999846</v>
      </c>
      <c r="AF51" s="156">
        <f>'FY 2008 Exp 01-06-10'!D5</f>
        <v>3116351</v>
      </c>
      <c r="AG51" s="155">
        <f t="shared" si="28"/>
        <v>0.1475072961935289</v>
      </c>
      <c r="AH51" s="13">
        <f t="shared" si="29"/>
        <v>1973730.49</v>
      </c>
    </row>
    <row r="52" spans="1:34" ht="15.75" customHeight="1">
      <c r="A52" s="218" t="s">
        <v>15</v>
      </c>
      <c r="B52" s="219"/>
      <c r="C52" s="11">
        <f t="shared" si="17"/>
        <v>10245180</v>
      </c>
      <c r="D52" s="11">
        <f t="shared" si="18"/>
        <v>3303438</v>
      </c>
      <c r="E52" s="12">
        <f t="shared" si="12"/>
        <v>0.32243825877144178</v>
      </c>
      <c r="F52" s="22">
        <f t="shared" si="19"/>
        <v>-742143</v>
      </c>
      <c r="G52" s="25">
        <f t="shared" si="20"/>
        <v>2561295</v>
      </c>
      <c r="H52" s="25">
        <f t="shared" si="13"/>
        <v>6941742</v>
      </c>
      <c r="I52" s="1">
        <v>0.25</v>
      </c>
      <c r="J52" s="135" t="s">
        <v>15</v>
      </c>
      <c r="K52" s="156">
        <v>10245180</v>
      </c>
      <c r="L52" s="156">
        <v>3303438</v>
      </c>
      <c r="M52" s="155">
        <f t="shared" si="14"/>
        <v>0.32243825877144178</v>
      </c>
      <c r="N52" s="156">
        <f t="shared" si="21"/>
        <v>6941742</v>
      </c>
      <c r="O52" s="156">
        <v>10586321</v>
      </c>
      <c r="P52" s="156">
        <v>1935547</v>
      </c>
      <c r="Q52" s="155">
        <f t="shared" si="15"/>
        <v>0.18283471661212616</v>
      </c>
      <c r="R52" s="156">
        <f t="shared" si="22"/>
        <v>8650774</v>
      </c>
      <c r="S52" s="156">
        <v>10604579</v>
      </c>
      <c r="T52" s="156">
        <v>2262421.56</v>
      </c>
      <c r="U52" s="155">
        <f t="shared" si="16"/>
        <v>0.21334383571474172</v>
      </c>
      <c r="V52" s="156">
        <f t="shared" si="23"/>
        <v>8342157.4399999995</v>
      </c>
      <c r="W52" s="156">
        <f>'FY 2009 Exp 01-06-10'!C6</f>
        <v>10906229</v>
      </c>
      <c r="X52" s="156">
        <f>SUM('FY 2009 Exp 01-06-10'!F6:H6)</f>
        <v>1433663.59</v>
      </c>
      <c r="Y52" s="155">
        <f t="shared" si="24"/>
        <v>0.13145364818582114</v>
      </c>
      <c r="Z52" s="156">
        <f>'FY 2009 Exp 01-06-10'!D6</f>
        <v>11732575</v>
      </c>
      <c r="AA52" s="155">
        <f t="shared" si="25"/>
        <v>0.12219513533900274</v>
      </c>
      <c r="AB52" s="13">
        <f t="shared" si="26"/>
        <v>9472565.4100000001</v>
      </c>
      <c r="AC52" s="156">
        <f>'FY 2008 Exp 01-06-10'!C6</f>
        <v>9925189</v>
      </c>
      <c r="AD52" s="156">
        <f>SUM('FY 2008 Exp 01-06-10'!F6:H6)</f>
        <v>1742101.62</v>
      </c>
      <c r="AE52" s="155">
        <f t="shared" si="27"/>
        <v>0.17552326912867858</v>
      </c>
      <c r="AF52" s="156">
        <f>'FY 2008 Exp 01-06-10'!D6</f>
        <v>10190881</v>
      </c>
      <c r="AG52" s="155">
        <f t="shared" si="28"/>
        <v>0.17094710653573525</v>
      </c>
      <c r="AH52" s="13">
        <f t="shared" si="29"/>
        <v>8183087.3799999999</v>
      </c>
    </row>
    <row r="53" spans="1:34" ht="15.75" customHeight="1">
      <c r="A53" s="218" t="s">
        <v>14</v>
      </c>
      <c r="B53" s="219"/>
      <c r="C53" s="11">
        <f t="shared" si="17"/>
        <v>31030208</v>
      </c>
      <c r="D53" s="11">
        <f t="shared" si="18"/>
        <v>7728467</v>
      </c>
      <c r="E53" s="12">
        <f t="shared" si="12"/>
        <v>0.24906268755916816</v>
      </c>
      <c r="F53" s="22">
        <f t="shared" si="19"/>
        <v>29085</v>
      </c>
      <c r="G53" s="25">
        <f t="shared" si="20"/>
        <v>7757552</v>
      </c>
      <c r="H53" s="25">
        <f t="shared" si="13"/>
        <v>23301741</v>
      </c>
      <c r="I53" s="1">
        <v>0.25</v>
      </c>
      <c r="J53" s="135" t="s">
        <v>151</v>
      </c>
      <c r="K53" s="156">
        <v>31030208</v>
      </c>
      <c r="L53" s="156">
        <v>7728467</v>
      </c>
      <c r="M53" s="155">
        <f t="shared" si="14"/>
        <v>0.24906268755916816</v>
      </c>
      <c r="N53" s="156">
        <f t="shared" si="21"/>
        <v>23301741</v>
      </c>
      <c r="O53" s="156">
        <v>36594199</v>
      </c>
      <c r="P53" s="156">
        <v>9673916</v>
      </c>
      <c r="Q53" s="155">
        <f t="shared" si="15"/>
        <v>0.26435654459877644</v>
      </c>
      <c r="R53" s="156">
        <f t="shared" si="22"/>
        <v>26920283</v>
      </c>
      <c r="S53" s="156">
        <v>36033186</v>
      </c>
      <c r="T53" s="156">
        <v>5852039.46</v>
      </c>
      <c r="U53" s="155">
        <f t="shared" si="16"/>
        <v>0.1624069395362375</v>
      </c>
      <c r="V53" s="156">
        <f t="shared" si="23"/>
        <v>30181146.539999999</v>
      </c>
      <c r="W53" s="156">
        <f>'FY 2009 Exp 01-06-10'!C7</f>
        <v>34955768</v>
      </c>
      <c r="X53" s="156">
        <f>SUM('FY 2009 Exp 01-06-10'!F7:H7)</f>
        <v>4683735.96</v>
      </c>
      <c r="Y53" s="155">
        <f t="shared" si="24"/>
        <v>0.13399036061802447</v>
      </c>
      <c r="Z53" s="156">
        <f>'FY 2009 Exp 01-06-10'!D7</f>
        <v>31765451</v>
      </c>
      <c r="AA53" s="155">
        <f t="shared" si="25"/>
        <v>0.14744748815308809</v>
      </c>
      <c r="AB53" s="13">
        <f t="shared" si="26"/>
        <v>30272032.039999999</v>
      </c>
      <c r="AC53" s="156">
        <f>'FY 2008 Exp 01-06-10'!C7</f>
        <v>33931130</v>
      </c>
      <c r="AD53" s="156">
        <f>SUM('FY 2008 Exp 01-06-10'!F7:H7)</f>
        <v>3533866.62</v>
      </c>
      <c r="AE53" s="155">
        <f t="shared" si="27"/>
        <v>0.10414821492829741</v>
      </c>
      <c r="AF53" s="156">
        <f>'FY 2008 Exp 01-06-10'!D7</f>
        <v>30400731</v>
      </c>
      <c r="AG53" s="155">
        <f t="shared" si="28"/>
        <v>0.11624281731909671</v>
      </c>
      <c r="AH53" s="13">
        <f t="shared" si="29"/>
        <v>30397263.379999999</v>
      </c>
    </row>
    <row r="54" spans="1:34" ht="15.75" customHeight="1">
      <c r="A54" s="218" t="s">
        <v>124</v>
      </c>
      <c r="B54" s="219"/>
      <c r="C54" s="11">
        <f t="shared" si="17"/>
        <v>11756112</v>
      </c>
      <c r="D54" s="11">
        <f t="shared" si="18"/>
        <v>2183431</v>
      </c>
      <c r="E54" s="12">
        <f t="shared" si="12"/>
        <v>0.18572730508181617</v>
      </c>
      <c r="F54" s="22">
        <f t="shared" si="19"/>
        <v>755597</v>
      </c>
      <c r="G54" s="25">
        <f t="shared" si="20"/>
        <v>2939028</v>
      </c>
      <c r="H54" s="25">
        <f t="shared" si="13"/>
        <v>9572681</v>
      </c>
      <c r="I54" s="1">
        <v>0.25</v>
      </c>
      <c r="J54" s="135" t="s">
        <v>124</v>
      </c>
      <c r="K54" s="156">
        <v>11756112</v>
      </c>
      <c r="L54" s="156">
        <v>2183431</v>
      </c>
      <c r="M54" s="155">
        <f t="shared" si="14"/>
        <v>0.18572730508181617</v>
      </c>
      <c r="N54" s="156">
        <f t="shared" si="21"/>
        <v>9572681</v>
      </c>
      <c r="O54" s="156">
        <v>12350821</v>
      </c>
      <c r="P54" s="156">
        <v>2124662</v>
      </c>
      <c r="Q54" s="155">
        <f t="shared" si="15"/>
        <v>0.17202597301021527</v>
      </c>
      <c r="R54" s="156">
        <f t="shared" si="22"/>
        <v>10226159</v>
      </c>
      <c r="S54" s="156">
        <v>11603014</v>
      </c>
      <c r="T54" s="156">
        <v>2506376.27</v>
      </c>
      <c r="U54" s="155">
        <f t="shared" si="16"/>
        <v>0.21601079426431788</v>
      </c>
      <c r="V54" s="156">
        <f t="shared" si="23"/>
        <v>9096637.7300000004</v>
      </c>
      <c r="W54" s="156">
        <f>'FY 2009 Exp 01-06-10'!C8</f>
        <v>11138553</v>
      </c>
      <c r="X54" s="156">
        <f>SUM('FY 2009 Exp 01-06-10'!F8:H8)</f>
        <v>2599794.9000000004</v>
      </c>
      <c r="Y54" s="155">
        <f t="shared" si="24"/>
        <v>0.23340508412537969</v>
      </c>
      <c r="Z54" s="156">
        <f>'FY 2009 Exp 01-06-10'!D8</f>
        <v>12178567</v>
      </c>
      <c r="AA54" s="155">
        <f t="shared" si="25"/>
        <v>0.2134729726411983</v>
      </c>
      <c r="AB54" s="13">
        <f t="shared" si="26"/>
        <v>8538758.0999999996</v>
      </c>
      <c r="AC54" s="156">
        <f>'FY 2008 Exp 01-06-10'!C8</f>
        <v>10691922</v>
      </c>
      <c r="AD54" s="156">
        <f>SUM('FY 2008 Exp 01-06-10'!F8:H8)</f>
        <v>1446088.6300000001</v>
      </c>
      <c r="AE54" s="155">
        <f t="shared" si="27"/>
        <v>0.13525057795969705</v>
      </c>
      <c r="AF54" s="156">
        <f>'FY 2008 Exp 01-06-10'!D8</f>
        <v>11576518</v>
      </c>
      <c r="AG54" s="155">
        <f t="shared" si="28"/>
        <v>0.12491568103638763</v>
      </c>
      <c r="AH54" s="13">
        <f t="shared" si="29"/>
        <v>9245833.3699999992</v>
      </c>
    </row>
    <row r="55" spans="1:34" ht="15.75" customHeight="1">
      <c r="A55" s="218" t="s">
        <v>32</v>
      </c>
      <c r="B55" s="219"/>
      <c r="C55" s="11">
        <f t="shared" si="17"/>
        <v>14379926</v>
      </c>
      <c r="D55" s="11">
        <f t="shared" si="18"/>
        <v>4498887</v>
      </c>
      <c r="E55" s="12">
        <f t="shared" si="12"/>
        <v>0.31285884224995314</v>
      </c>
      <c r="F55" s="22">
        <f t="shared" si="19"/>
        <v>-903905.5</v>
      </c>
      <c r="G55" s="25">
        <f t="shared" si="20"/>
        <v>3594981.5</v>
      </c>
      <c r="H55" s="25">
        <f t="shared" si="13"/>
        <v>9881039</v>
      </c>
      <c r="I55" s="1">
        <v>0.25</v>
      </c>
      <c r="J55" s="135" t="s">
        <v>32</v>
      </c>
      <c r="K55" s="156">
        <v>14379926</v>
      </c>
      <c r="L55" s="156">
        <v>4498887</v>
      </c>
      <c r="M55" s="155">
        <f t="shared" si="14"/>
        <v>0.31285884224995314</v>
      </c>
      <c r="N55" s="156">
        <f t="shared" si="21"/>
        <v>9881039</v>
      </c>
      <c r="O55" s="156">
        <v>14589387</v>
      </c>
      <c r="P55" s="156">
        <v>2826657</v>
      </c>
      <c r="Q55" s="155">
        <f t="shared" si="15"/>
        <v>0.19374748233082034</v>
      </c>
      <c r="R55" s="156">
        <f t="shared" si="22"/>
        <v>11762730</v>
      </c>
      <c r="S55" s="156">
        <v>14742575</v>
      </c>
      <c r="T55" s="156">
        <v>3094036.91</v>
      </c>
      <c r="U55" s="155">
        <f t="shared" si="16"/>
        <v>0.20987086109448316</v>
      </c>
      <c r="V55" s="156">
        <f t="shared" si="23"/>
        <v>11648538.09</v>
      </c>
      <c r="W55" s="156">
        <f>'FY 2009 Exp 01-06-10'!C9</f>
        <v>14546174</v>
      </c>
      <c r="X55" s="156">
        <f>SUM('FY 2009 Exp 01-06-10'!F9:H9)</f>
        <v>2390236.9299999997</v>
      </c>
      <c r="Y55" s="155">
        <f t="shared" si="24"/>
        <v>0.16432066122679406</v>
      </c>
      <c r="Z55" s="156">
        <f>'FY 2009 Exp 01-06-10'!D9</f>
        <v>14631394</v>
      </c>
      <c r="AA55" s="155">
        <f t="shared" si="25"/>
        <v>0.16336358176124569</v>
      </c>
      <c r="AB55" s="13">
        <f t="shared" si="26"/>
        <v>12155937.07</v>
      </c>
      <c r="AC55" s="156">
        <f>'FY 2008 Exp 01-06-10'!C9</f>
        <v>13877308</v>
      </c>
      <c r="AD55" s="156">
        <f>SUM('FY 2008 Exp 01-06-10'!F9:H9)</f>
        <v>2355398.4899999998</v>
      </c>
      <c r="AE55" s="155">
        <f t="shared" si="27"/>
        <v>0.16973021640796615</v>
      </c>
      <c r="AF55" s="156">
        <f>'FY 2008 Exp 01-06-10'!D9</f>
        <v>14249804</v>
      </c>
      <c r="AG55" s="155">
        <f t="shared" si="28"/>
        <v>0.16529339561442388</v>
      </c>
      <c r="AH55" s="13">
        <f t="shared" si="29"/>
        <v>11521909.51</v>
      </c>
    </row>
    <row r="56" spans="1:34" ht="15.75" customHeight="1">
      <c r="A56" s="218" t="s">
        <v>33</v>
      </c>
      <c r="B56" s="219"/>
      <c r="C56" s="11">
        <f t="shared" si="17"/>
        <v>10468040</v>
      </c>
      <c r="D56" s="11">
        <f t="shared" si="18"/>
        <v>3093383</v>
      </c>
      <c r="E56" s="12">
        <f t="shared" si="12"/>
        <v>0.29550737291794832</v>
      </c>
      <c r="F56" s="22">
        <f t="shared" si="19"/>
        <v>-476373</v>
      </c>
      <c r="G56" s="25">
        <f t="shared" si="20"/>
        <v>2617010</v>
      </c>
      <c r="H56" s="25">
        <f t="shared" si="13"/>
        <v>7374657</v>
      </c>
      <c r="I56" s="1">
        <v>0.25</v>
      </c>
      <c r="J56" s="135" t="s">
        <v>33</v>
      </c>
      <c r="K56" s="156">
        <v>10468040</v>
      </c>
      <c r="L56" s="156">
        <v>3093383</v>
      </c>
      <c r="M56" s="155">
        <f t="shared" si="14"/>
        <v>0.29550737291794832</v>
      </c>
      <c r="N56" s="156">
        <f t="shared" si="21"/>
        <v>7374657</v>
      </c>
      <c r="O56" s="156">
        <v>10895570</v>
      </c>
      <c r="P56" s="156">
        <v>2136273</v>
      </c>
      <c r="Q56" s="155">
        <f t="shared" si="15"/>
        <v>0.19606803499036765</v>
      </c>
      <c r="R56" s="156">
        <f t="shared" si="22"/>
        <v>8759297</v>
      </c>
      <c r="S56" s="156">
        <v>10775827</v>
      </c>
      <c r="T56" s="156">
        <v>2477263.4</v>
      </c>
      <c r="U56" s="155">
        <f t="shared" si="16"/>
        <v>0.22989079167659243</v>
      </c>
      <c r="V56" s="156">
        <f t="shared" si="23"/>
        <v>8298563.5999999996</v>
      </c>
      <c r="W56" s="156">
        <f>'FY 2009 Exp 01-06-10'!C10</f>
        <v>10460745</v>
      </c>
      <c r="X56" s="156">
        <f>SUM('FY 2009 Exp 01-06-10'!F10:H10)</f>
        <v>1812094.8599999999</v>
      </c>
      <c r="Y56" s="155">
        <f t="shared" si="24"/>
        <v>0.1732280884392077</v>
      </c>
      <c r="Z56" s="156">
        <f>'FY 2009 Exp 01-06-10'!D10</f>
        <v>10518776</v>
      </c>
      <c r="AA56" s="155">
        <f t="shared" si="25"/>
        <v>0.17227240697967139</v>
      </c>
      <c r="AB56" s="13">
        <f t="shared" si="26"/>
        <v>8648650.1400000006</v>
      </c>
      <c r="AC56" s="156">
        <f>'FY 2008 Exp 01-06-10'!C10</f>
        <v>10121330</v>
      </c>
      <c r="AD56" s="156">
        <f>SUM('FY 2008 Exp 01-06-10'!F10:H10)</f>
        <v>1694852.03</v>
      </c>
      <c r="AE56" s="155">
        <f t="shared" si="27"/>
        <v>0.16745348980815764</v>
      </c>
      <c r="AF56" s="156">
        <f>'FY 2008 Exp 01-06-10'!D10</f>
        <v>10185578</v>
      </c>
      <c r="AG56" s="155">
        <f t="shared" si="28"/>
        <v>0.16639723636694942</v>
      </c>
      <c r="AH56" s="13">
        <f t="shared" si="29"/>
        <v>8426477.9700000007</v>
      </c>
    </row>
    <row r="57" spans="1:34" ht="15.75" customHeight="1">
      <c r="A57" s="218" t="s">
        <v>34</v>
      </c>
      <c r="B57" s="219"/>
      <c r="C57" s="11">
        <f t="shared" si="17"/>
        <v>10353415</v>
      </c>
      <c r="D57" s="11">
        <f t="shared" si="18"/>
        <v>2934780</v>
      </c>
      <c r="E57" s="12">
        <f t="shared" si="12"/>
        <v>0.28346009505076342</v>
      </c>
      <c r="F57" s="22">
        <f t="shared" si="19"/>
        <v>-346426.25</v>
      </c>
      <c r="G57" s="25">
        <f t="shared" si="20"/>
        <v>2588353.75</v>
      </c>
      <c r="H57" s="25">
        <f t="shared" si="13"/>
        <v>7418635</v>
      </c>
      <c r="I57" s="1">
        <v>0.25</v>
      </c>
      <c r="J57" s="135" t="s">
        <v>34</v>
      </c>
      <c r="K57" s="156">
        <v>10353415</v>
      </c>
      <c r="L57" s="156">
        <v>2934780</v>
      </c>
      <c r="M57" s="155">
        <f t="shared" si="14"/>
        <v>0.28346009505076342</v>
      </c>
      <c r="N57" s="156">
        <f t="shared" si="21"/>
        <v>7418635</v>
      </c>
      <c r="O57" s="156">
        <v>10218116</v>
      </c>
      <c r="P57" s="156">
        <v>1880818</v>
      </c>
      <c r="Q57" s="155">
        <f t="shared" si="15"/>
        <v>0.18406700413266008</v>
      </c>
      <c r="R57" s="156">
        <f t="shared" si="22"/>
        <v>8337298</v>
      </c>
      <c r="S57" s="156">
        <v>10781064</v>
      </c>
      <c r="T57" s="156">
        <v>1969355.35</v>
      </c>
      <c r="U57" s="155">
        <f t="shared" si="16"/>
        <v>0.18266799547799736</v>
      </c>
      <c r="V57" s="156">
        <f t="shared" si="23"/>
        <v>8811708.6500000004</v>
      </c>
      <c r="W57" s="156">
        <f>'FY 2009 Exp 01-06-10'!C11</f>
        <v>10829424</v>
      </c>
      <c r="X57" s="156">
        <f>SUM('FY 2009 Exp 01-06-10'!F11:H11)</f>
        <v>1697420.5</v>
      </c>
      <c r="Y57" s="155">
        <f t="shared" si="24"/>
        <v>0.1567415312208664</v>
      </c>
      <c r="Z57" s="156">
        <f>'FY 2009 Exp 01-06-10'!D11</f>
        <v>11207054</v>
      </c>
      <c r="AA57" s="155">
        <f t="shared" si="25"/>
        <v>0.15146000902645779</v>
      </c>
      <c r="AB57" s="13">
        <f t="shared" si="26"/>
        <v>9132003.5</v>
      </c>
      <c r="AC57" s="156">
        <f>'FY 2008 Exp 01-06-10'!C11</f>
        <v>10503495</v>
      </c>
      <c r="AD57" s="156">
        <f>SUM('FY 2008 Exp 01-06-10'!F11:H11)</f>
        <v>1727738.63</v>
      </c>
      <c r="AE57" s="155">
        <f t="shared" si="27"/>
        <v>0.16449178392525535</v>
      </c>
      <c r="AF57" s="156">
        <f>'FY 2008 Exp 01-06-10'!D11</f>
        <v>11177385</v>
      </c>
      <c r="AG57" s="155">
        <f t="shared" si="28"/>
        <v>0.15457449394469278</v>
      </c>
      <c r="AH57" s="13">
        <f t="shared" si="29"/>
        <v>8775756.370000001</v>
      </c>
    </row>
    <row r="58" spans="1:34" ht="15.75" customHeight="1">
      <c r="A58" s="218" t="s">
        <v>35</v>
      </c>
      <c r="B58" s="219"/>
      <c r="C58" s="11">
        <f t="shared" si="17"/>
        <v>45271679</v>
      </c>
      <c r="D58" s="11">
        <f t="shared" si="18"/>
        <v>14516965</v>
      </c>
      <c r="E58" s="12">
        <f t="shared" si="12"/>
        <v>0.32066327824952107</v>
      </c>
      <c r="F58" s="22">
        <f t="shared" si="19"/>
        <v>-3199045.25</v>
      </c>
      <c r="G58" s="25">
        <f>C58*0.25</f>
        <v>11317919.75</v>
      </c>
      <c r="H58" s="25">
        <f>C58-D58</f>
        <v>30754714</v>
      </c>
      <c r="I58" s="1">
        <v>0.25</v>
      </c>
      <c r="J58" s="135" t="s">
        <v>35</v>
      </c>
      <c r="K58" s="156">
        <v>45271679</v>
      </c>
      <c r="L58" s="156">
        <v>14516965</v>
      </c>
      <c r="M58" s="155">
        <f t="shared" si="14"/>
        <v>0.32066327824952107</v>
      </c>
      <c r="N58" s="156">
        <f t="shared" si="21"/>
        <v>30754714</v>
      </c>
      <c r="O58" s="156">
        <v>45505343</v>
      </c>
      <c r="P58" s="156">
        <v>10123249</v>
      </c>
      <c r="Q58" s="155">
        <f t="shared" si="15"/>
        <v>0.22246286551449573</v>
      </c>
      <c r="R58" s="156">
        <f t="shared" si="22"/>
        <v>35382094</v>
      </c>
      <c r="S58" s="156">
        <v>45971504</v>
      </c>
      <c r="T58" s="156">
        <v>10570096.859999999</v>
      </c>
      <c r="U58" s="155">
        <f t="shared" si="16"/>
        <v>0.22992714921835056</v>
      </c>
      <c r="V58" s="156">
        <f t="shared" si="23"/>
        <v>35401407.140000001</v>
      </c>
      <c r="W58" s="156">
        <f>'FY 2009 Exp 01-06-10'!C12</f>
        <v>44763416</v>
      </c>
      <c r="X58" s="156">
        <f>SUM('FY 2009 Exp 01-06-10'!F12:H12)</f>
        <v>8279918.04</v>
      </c>
      <c r="Y58" s="155">
        <f t="shared" si="24"/>
        <v>0.18497064745907685</v>
      </c>
      <c r="Z58" s="156">
        <f>'FY 2009 Exp 01-06-10'!D12</f>
        <v>45148643</v>
      </c>
      <c r="AA58" s="155">
        <f t="shared" si="25"/>
        <v>0.18339240096319173</v>
      </c>
      <c r="AB58" s="13">
        <f t="shared" si="26"/>
        <v>36483497.960000001</v>
      </c>
      <c r="AC58" s="156">
        <f>'FY 2008 Exp 01-06-10'!C12</f>
        <v>44214975</v>
      </c>
      <c r="AD58" s="156">
        <f>SUM('FY 2008 Exp 01-06-10'!F12:H12)</f>
        <v>8113518.5800000001</v>
      </c>
      <c r="AE58" s="155">
        <f t="shared" si="27"/>
        <v>0.18350159827072163</v>
      </c>
      <c r="AF58" s="156">
        <f>'FY 2008 Exp 01-06-10'!D12</f>
        <v>44791732</v>
      </c>
      <c r="AG58" s="155">
        <f t="shared" si="28"/>
        <v>0.18113875525063419</v>
      </c>
      <c r="AH58" s="13">
        <f t="shared" si="29"/>
        <v>36101456.420000002</v>
      </c>
    </row>
    <row r="59" spans="1:34" ht="15.75" customHeight="1" thickBot="1">
      <c r="A59" s="218" t="s">
        <v>36</v>
      </c>
      <c r="B59" s="219"/>
      <c r="C59" s="11">
        <f t="shared" si="17"/>
        <v>9085000</v>
      </c>
      <c r="D59" s="11">
        <f t="shared" si="18"/>
        <v>9085000</v>
      </c>
      <c r="E59" s="12">
        <f t="shared" si="12"/>
        <v>1</v>
      </c>
      <c r="F59" s="22">
        <f t="shared" si="19"/>
        <v>-6813750</v>
      </c>
      <c r="G59" s="25">
        <f t="shared" si="20"/>
        <v>2271250</v>
      </c>
      <c r="H59" s="25">
        <f t="shared" si="13"/>
        <v>0</v>
      </c>
      <c r="I59" s="1">
        <v>0.25</v>
      </c>
      <c r="J59" s="135" t="s">
        <v>36</v>
      </c>
      <c r="K59" s="158">
        <v>9085000</v>
      </c>
      <c r="L59" s="158">
        <v>9085000</v>
      </c>
      <c r="M59" s="152">
        <f t="shared" si="14"/>
        <v>1</v>
      </c>
      <c r="N59" s="158">
        <f t="shared" si="21"/>
        <v>0</v>
      </c>
      <c r="O59" s="158">
        <v>9355000</v>
      </c>
      <c r="P59" s="158">
        <v>2905000</v>
      </c>
      <c r="Q59" s="152">
        <f t="shared" si="15"/>
        <v>0.310529128808124</v>
      </c>
      <c r="R59" s="158">
        <f t="shared" si="22"/>
        <v>6450000</v>
      </c>
      <c r="S59" s="158">
        <v>8370000</v>
      </c>
      <c r="T59" s="158">
        <v>0</v>
      </c>
      <c r="U59" s="152">
        <f t="shared" si="16"/>
        <v>0</v>
      </c>
      <c r="V59" s="158">
        <f t="shared" si="23"/>
        <v>8370000</v>
      </c>
      <c r="W59" s="158">
        <f>'FY 2009 Exp 01-06-10'!C14</f>
        <v>8707782</v>
      </c>
      <c r="X59" s="158">
        <f>SUM('FY 2009 Exp 01-06-10'!F14:H14)</f>
        <v>2000000</v>
      </c>
      <c r="Y59" s="152">
        <f t="shared" si="24"/>
        <v>0.22967961301741363</v>
      </c>
      <c r="Z59" s="158">
        <f>'FY 2009 Exp 01-06-10'!D14</f>
        <v>13464262</v>
      </c>
      <c r="AA59" s="152">
        <f t="shared" si="25"/>
        <v>0.14854137568030093</v>
      </c>
      <c r="AB59" s="159">
        <f t="shared" si="26"/>
        <v>6707782</v>
      </c>
      <c r="AC59" s="158">
        <f>'FY 2008 Exp 01-06-10'!C14</f>
        <v>9046853</v>
      </c>
      <c r="AD59" s="158">
        <f>SUM('FY 2008 Exp 01-06-10'!F14:H14)</f>
        <v>1000000</v>
      </c>
      <c r="AE59" s="152">
        <f t="shared" si="27"/>
        <v>0.11053567467051803</v>
      </c>
      <c r="AF59" s="158">
        <f>'FY 2008 Exp 01-06-10'!D14</f>
        <v>19089565</v>
      </c>
      <c r="AG59" s="152">
        <f t="shared" si="28"/>
        <v>5.2384640509094887E-2</v>
      </c>
      <c r="AH59" s="159">
        <f t="shared" si="29"/>
        <v>8046853</v>
      </c>
    </row>
    <row r="60" spans="1:34" ht="15.75" customHeight="1" thickBot="1">
      <c r="A60" s="220" t="s">
        <v>28</v>
      </c>
      <c r="B60" s="221"/>
      <c r="C60" s="20">
        <f>SUM(C49:C59)</f>
        <v>146765759</v>
      </c>
      <c r="D60" s="20">
        <f>SUM(D49:D59)</f>
        <v>48051109</v>
      </c>
      <c r="E60" s="12">
        <f t="shared" si="12"/>
        <v>0.32739999661637698</v>
      </c>
      <c r="F60" s="175">
        <f t="shared" si="19"/>
        <v>-11359669.25</v>
      </c>
      <c r="G60" s="14">
        <f t="shared" si="20"/>
        <v>36691439.75</v>
      </c>
      <c r="J60" s="107"/>
      <c r="K60" s="157">
        <f>SUM(K49:K59)</f>
        <v>146765759</v>
      </c>
      <c r="L60" s="157">
        <f>SUM(L49:L59)</f>
        <v>48051109</v>
      </c>
      <c r="M60" s="153">
        <f t="shared" si="14"/>
        <v>0.32739999661637698</v>
      </c>
      <c r="N60" s="157">
        <f>SUM(N49:N59)</f>
        <v>98714650</v>
      </c>
      <c r="O60" s="157">
        <f>SUM(O49:O59)</f>
        <v>153678623</v>
      </c>
      <c r="P60" s="157">
        <f>SUM(P49:P59)</f>
        <v>34227742</v>
      </c>
      <c r="Q60" s="153">
        <f t="shared" si="15"/>
        <v>0.22272285716667309</v>
      </c>
      <c r="R60" s="157">
        <f>SUM(R49:R59)</f>
        <v>119450881</v>
      </c>
      <c r="S60" s="157">
        <f>SUM(S49:S59)</f>
        <v>152858941</v>
      </c>
      <c r="T60" s="157">
        <f>SUM(T49:T59)</f>
        <v>29242490.469999999</v>
      </c>
      <c r="U60" s="153">
        <f t="shared" si="16"/>
        <v>0.19130376200892299</v>
      </c>
      <c r="V60" s="157">
        <f>SUM(V49:V59)</f>
        <v>123616450.53</v>
      </c>
      <c r="W60" s="157">
        <f t="shared" ref="W60:AH60" si="30">SUM(W49:W59)</f>
        <v>150486607</v>
      </c>
      <c r="X60" s="157">
        <f t="shared" si="30"/>
        <v>25581897.98</v>
      </c>
      <c r="Y60" s="153">
        <f t="shared" si="24"/>
        <v>0.16999451638908969</v>
      </c>
      <c r="Z60" s="157">
        <f t="shared" si="30"/>
        <v>154788048</v>
      </c>
      <c r="AA60" s="153">
        <f t="shared" si="25"/>
        <v>0.16527049930883553</v>
      </c>
      <c r="AB60" s="157">
        <f t="shared" si="30"/>
        <v>124904709.02000001</v>
      </c>
      <c r="AC60" s="157">
        <f t="shared" si="30"/>
        <v>145532969</v>
      </c>
      <c r="AD60" s="157">
        <f t="shared" si="30"/>
        <v>22319067.530000001</v>
      </c>
      <c r="AE60" s="153">
        <f t="shared" si="27"/>
        <v>0.1533609029167817</v>
      </c>
      <c r="AF60" s="157">
        <f t="shared" si="30"/>
        <v>155602576</v>
      </c>
      <c r="AG60" s="153">
        <f t="shared" si="28"/>
        <v>0.14343636271163018</v>
      </c>
      <c r="AH60" s="157">
        <f t="shared" si="30"/>
        <v>123213901.47</v>
      </c>
    </row>
    <row r="61" spans="1:34" ht="15.75" customHeight="1" thickTop="1">
      <c r="A61" s="168"/>
      <c r="B61" s="168"/>
      <c r="C61" s="169"/>
      <c r="D61" s="169"/>
      <c r="E61" s="170"/>
      <c r="F61" s="23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4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</sheetData>
  <mergeCells count="26">
    <mergeCell ref="A18:B18"/>
    <mergeCell ref="B3:D3"/>
    <mergeCell ref="A13:F13"/>
    <mergeCell ref="A14:F14"/>
    <mergeCell ref="A16:B16"/>
    <mergeCell ref="A17:B17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A59:B59"/>
    <mergeCell ref="A60:B60"/>
    <mergeCell ref="A53:B53"/>
    <mergeCell ref="A54:B54"/>
    <mergeCell ref="A55:B55"/>
    <mergeCell ref="A56:B56"/>
    <mergeCell ref="A57:B57"/>
    <mergeCell ref="A58:B5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E28" workbookViewId="0">
      <selection activeCell="L49" sqref="L49:L5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7.7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4" style="2" bestFit="1" customWidth="1"/>
    <col min="12" max="12" width="13.125" style="2" customWidth="1"/>
    <col min="13" max="13" width="10.25" style="2" customWidth="1"/>
    <col min="14" max="14" width="11.5" style="2" customWidth="1"/>
    <col min="15" max="15" width="11.125" style="2" bestFit="1" customWidth="1"/>
    <col min="16" max="16" width="15" style="2" customWidth="1"/>
    <col min="17" max="17" width="11.875" style="2" customWidth="1"/>
    <col min="18" max="18" width="12.5" style="2" bestFit="1" customWidth="1"/>
    <col min="19" max="19" width="12.5" style="2" customWidth="1"/>
    <col min="20" max="20" width="12.5" style="2" bestFit="1" customWidth="1"/>
    <col min="21" max="21" width="11.125" style="2" bestFit="1" customWidth="1"/>
    <col min="22" max="23" width="12.625" style="2" customWidth="1"/>
    <col min="24" max="24" width="14.75" style="2" customWidth="1"/>
    <col min="25" max="25" width="14.125" style="2" customWidth="1"/>
    <col min="26" max="26" width="12.5" style="2" bestFit="1" customWidth="1"/>
    <col min="27" max="27" width="9" style="2"/>
    <col min="28" max="28" width="11.375" style="2" customWidth="1"/>
    <col min="29" max="29" width="9" style="2"/>
    <col min="30" max="30" width="12.75" style="2" customWidth="1"/>
    <col min="31" max="16384" width="9" style="2"/>
  </cols>
  <sheetData>
    <row r="1" spans="1:25" ht="15.95" customHeight="1">
      <c r="E1" s="3"/>
      <c r="F1" s="3" t="s">
        <v>23</v>
      </c>
    </row>
    <row r="2" spans="1:25" ht="15.95" customHeight="1">
      <c r="E2" s="3"/>
      <c r="F2" s="3" t="s">
        <v>56</v>
      </c>
    </row>
    <row r="3" spans="1:25" ht="15.95" customHeight="1">
      <c r="B3" s="202" t="s">
        <v>43</v>
      </c>
      <c r="C3" s="202"/>
      <c r="D3" s="202"/>
      <c r="E3" s="3"/>
      <c r="F3" s="3" t="s">
        <v>57</v>
      </c>
    </row>
    <row r="4" spans="1:25" ht="15.95" customHeight="1">
      <c r="E4" s="3"/>
      <c r="F4" s="3" t="s">
        <v>58</v>
      </c>
    </row>
    <row r="5" spans="1:25" ht="15.95" customHeight="1">
      <c r="E5" s="3"/>
      <c r="F5" s="3" t="s">
        <v>24</v>
      </c>
    </row>
    <row r="6" spans="1:25" ht="15.75">
      <c r="A6" s="4"/>
      <c r="B6" s="4"/>
      <c r="C6" s="4"/>
      <c r="D6" s="5"/>
      <c r="E6" s="5"/>
      <c r="F6" s="4"/>
    </row>
    <row r="7" spans="1:25" ht="15.75">
      <c r="D7" s="3"/>
      <c r="E7" s="3"/>
    </row>
    <row r="8" spans="1:25" ht="19.5" customHeight="1">
      <c r="A8" s="6" t="s">
        <v>38</v>
      </c>
      <c r="B8" s="7" t="s">
        <v>39</v>
      </c>
    </row>
    <row r="9" spans="1:25" ht="19.5" customHeight="1">
      <c r="A9" s="6" t="s">
        <v>40</v>
      </c>
      <c r="B9" s="7" t="s">
        <v>98</v>
      </c>
    </row>
    <row r="10" spans="1:25" ht="19.5" customHeight="1">
      <c r="A10" s="6" t="s">
        <v>41</v>
      </c>
      <c r="B10" s="8">
        <v>40923</v>
      </c>
    </row>
    <row r="11" spans="1:25" ht="19.5" customHeight="1">
      <c r="A11" s="6" t="s">
        <v>42</v>
      </c>
      <c r="B11" s="7" t="s">
        <v>182</v>
      </c>
    </row>
    <row r="12" spans="1:25" ht="19.5" customHeight="1">
      <c r="A12" s="6"/>
      <c r="B12" s="7"/>
    </row>
    <row r="13" spans="1:25" ht="12.75" customHeight="1">
      <c r="A13" s="212"/>
      <c r="B13" s="212"/>
      <c r="C13" s="212"/>
      <c r="D13" s="212"/>
      <c r="E13" s="212"/>
      <c r="F13" s="212"/>
    </row>
    <row r="14" spans="1:25" ht="31.5" customHeight="1">
      <c r="A14" s="213" t="s">
        <v>29</v>
      </c>
      <c r="B14" s="213"/>
      <c r="C14" s="213"/>
      <c r="D14" s="213"/>
      <c r="E14" s="213"/>
      <c r="F14" s="213"/>
    </row>
    <row r="15" spans="1:25">
      <c r="K15" s="134"/>
      <c r="L15" s="134"/>
      <c r="M15" s="134"/>
      <c r="N15" s="134"/>
    </row>
    <row r="16" spans="1:25" ht="38.25">
      <c r="A16" s="214"/>
      <c r="B16" s="214"/>
      <c r="C16" s="9" t="s">
        <v>143</v>
      </c>
      <c r="D16" s="9" t="s">
        <v>170</v>
      </c>
      <c r="E16" s="9" t="s">
        <v>25</v>
      </c>
      <c r="F16" s="9" t="s">
        <v>171</v>
      </c>
      <c r="G16" s="10">
        <v>1</v>
      </c>
      <c r="H16" s="2" t="s">
        <v>44</v>
      </c>
      <c r="I16" s="10">
        <v>1</v>
      </c>
      <c r="K16" s="9" t="s">
        <v>143</v>
      </c>
      <c r="L16" s="9" t="s">
        <v>144</v>
      </c>
      <c r="M16" s="9">
        <v>2011</v>
      </c>
      <c r="N16" s="9" t="s">
        <v>99</v>
      </c>
      <c r="O16" s="9" t="s">
        <v>172</v>
      </c>
      <c r="P16" s="9" t="s">
        <v>142</v>
      </c>
      <c r="Q16" s="9">
        <v>2010</v>
      </c>
      <c r="R16" s="9" t="s">
        <v>1</v>
      </c>
      <c r="S16" s="9" t="s">
        <v>173</v>
      </c>
      <c r="T16" s="9" t="s">
        <v>113</v>
      </c>
      <c r="U16" s="9">
        <v>2009</v>
      </c>
      <c r="V16" s="9" t="s">
        <v>111</v>
      </c>
      <c r="W16" s="9" t="s">
        <v>174</v>
      </c>
      <c r="X16" s="9" t="s">
        <v>114</v>
      </c>
      <c r="Y16" s="9">
        <v>2008</v>
      </c>
    </row>
    <row r="17" spans="1:25" ht="15.75" customHeight="1">
      <c r="A17" s="215" t="s">
        <v>26</v>
      </c>
      <c r="B17" s="215"/>
      <c r="C17" s="11">
        <f>K17</f>
        <v>130863490</v>
      </c>
      <c r="D17" s="11">
        <f>L17</f>
        <v>130891250</v>
      </c>
      <c r="E17" s="12">
        <f t="shared" ref="E17:E24" si="0">(D17/C17)</f>
        <v>1.0002121294487867</v>
      </c>
      <c r="F17" s="29">
        <f t="shared" ref="F17:F23" si="1">D17-G17</f>
        <v>27760</v>
      </c>
      <c r="G17" s="14">
        <f t="shared" ref="G17:G24" si="2">C17</f>
        <v>130863490</v>
      </c>
      <c r="H17" s="15">
        <v>0</v>
      </c>
      <c r="I17" s="10">
        <v>1</v>
      </c>
      <c r="J17" s="21" t="str">
        <f>A17</f>
        <v>Current / Delinquent Taxes</v>
      </c>
      <c r="K17" s="161">
        <v>130863490</v>
      </c>
      <c r="L17" s="161">
        <v>130891250</v>
      </c>
      <c r="M17" s="12">
        <f>(L17/K17)</f>
        <v>1.0002121294487867</v>
      </c>
      <c r="N17" s="11">
        <v>130450730</v>
      </c>
      <c r="O17" s="11">
        <v>129998044.09</v>
      </c>
      <c r="P17" s="166">
        <v>130271144</v>
      </c>
      <c r="Q17" s="12">
        <f>(O17/P17)</f>
        <v>0.99790360396313094</v>
      </c>
      <c r="R17" s="11">
        <f>'FY 2009 Rev 01-04-10'!E3</f>
        <v>119221816</v>
      </c>
      <c r="S17" s="11">
        <v>119765132.67000002</v>
      </c>
      <c r="T17" s="11">
        <f>'FY 2009 Rev 01-04-10'!D3</f>
        <v>119967823.45</v>
      </c>
      <c r="U17" s="12">
        <f t="shared" ref="U17:U24" si="3">S17/T17</f>
        <v>0.99831045713616318</v>
      </c>
      <c r="V17" s="11">
        <f>'FY 2008 Rev 01-04-10'!E3</f>
        <v>106565989</v>
      </c>
      <c r="W17" s="11">
        <v>117399101.35000001</v>
      </c>
      <c r="X17" s="11">
        <f>'FY 2008 Rev 01-04-10'!D3</f>
        <v>117399101.34999999</v>
      </c>
      <c r="Y17" s="12">
        <f t="shared" ref="Y17:Y24" si="4">W17/X17</f>
        <v>1.0000000000000002</v>
      </c>
    </row>
    <row r="18" spans="1:25" ht="15.75" customHeight="1">
      <c r="A18" s="215" t="s">
        <v>102</v>
      </c>
      <c r="B18" s="215"/>
      <c r="C18" s="22">
        <f t="shared" ref="C18:D23" si="5">K18</f>
        <v>4000</v>
      </c>
      <c r="D18" s="22">
        <f t="shared" si="5"/>
        <v>6000</v>
      </c>
      <c r="E18" s="12">
        <f>(D18/C18)</f>
        <v>1.5</v>
      </c>
      <c r="F18" s="22">
        <f>D18-G18</f>
        <v>2000</v>
      </c>
      <c r="G18" s="14">
        <f t="shared" si="2"/>
        <v>4000</v>
      </c>
      <c r="H18" s="15">
        <v>0</v>
      </c>
      <c r="I18" s="10">
        <v>1</v>
      </c>
      <c r="J18" s="21" t="str">
        <f t="shared" ref="J18:J23" si="6">A18</f>
        <v>License / Permits</v>
      </c>
      <c r="K18" s="161">
        <v>4000</v>
      </c>
      <c r="L18" s="161">
        <v>6000</v>
      </c>
      <c r="M18" s="12">
        <f t="shared" ref="M18:M24" si="7">(L18/K18)</f>
        <v>1.5</v>
      </c>
      <c r="N18" s="16">
        <f>C18</f>
        <v>4000</v>
      </c>
      <c r="O18" s="28">
        <v>2500</v>
      </c>
      <c r="P18" s="165">
        <v>2500</v>
      </c>
      <c r="Q18" s="12">
        <f t="shared" ref="Q18:Q24" si="8">(O18/P18)</f>
        <v>1</v>
      </c>
      <c r="R18" s="28">
        <f>'FY 2009 Rev 01-04-10'!E6</f>
        <v>4000</v>
      </c>
      <c r="S18" s="28">
        <v>4000</v>
      </c>
      <c r="T18" s="28">
        <f>'FY 2009 Rev 01-04-10'!D6</f>
        <v>4000</v>
      </c>
      <c r="U18" s="12">
        <f t="shared" si="3"/>
        <v>1</v>
      </c>
      <c r="V18" s="28">
        <f>'FY 2008 Rev 01-04-10'!E6</f>
        <v>4200</v>
      </c>
      <c r="W18" s="28">
        <v>4000</v>
      </c>
      <c r="X18" s="28">
        <f>'FY 2008 Rev 01-04-10'!D6</f>
        <v>4000</v>
      </c>
      <c r="Y18" s="12">
        <f t="shared" si="4"/>
        <v>1</v>
      </c>
    </row>
    <row r="19" spans="1:25" ht="15.75" customHeight="1">
      <c r="A19" s="215" t="s">
        <v>55</v>
      </c>
      <c r="B19" s="215"/>
      <c r="C19" s="22">
        <f t="shared" si="5"/>
        <v>3312377</v>
      </c>
      <c r="D19" s="22">
        <f t="shared" si="5"/>
        <v>3350379</v>
      </c>
      <c r="E19" s="12">
        <f t="shared" si="0"/>
        <v>1.0114727278929905</v>
      </c>
      <c r="F19" s="22">
        <f t="shared" si="1"/>
        <v>38002</v>
      </c>
      <c r="G19" s="14">
        <f t="shared" si="2"/>
        <v>3312377</v>
      </c>
      <c r="H19" s="15">
        <v>0</v>
      </c>
      <c r="I19" s="10">
        <v>1</v>
      </c>
      <c r="J19" s="21" t="str">
        <f t="shared" si="6"/>
        <v>Intergovernmental Revenue</v>
      </c>
      <c r="K19" s="161">
        <v>3312377</v>
      </c>
      <c r="L19" s="161">
        <v>3350379</v>
      </c>
      <c r="M19" s="12">
        <f t="shared" si="7"/>
        <v>1.0114727278929905</v>
      </c>
      <c r="N19" s="16">
        <v>3547135</v>
      </c>
      <c r="O19" s="28">
        <v>3244665.99</v>
      </c>
      <c r="P19" s="165">
        <v>3908666</v>
      </c>
      <c r="Q19" s="12">
        <f t="shared" si="8"/>
        <v>0.83012106688061871</v>
      </c>
      <c r="R19" s="28">
        <f>'FY 2009 Rev 01-04-10'!E11</f>
        <v>3678780</v>
      </c>
      <c r="S19" s="28">
        <v>3987047.8600000003</v>
      </c>
      <c r="T19" s="28">
        <f>'FY 2009 Rev 01-04-10'!D11</f>
        <v>3992954.02</v>
      </c>
      <c r="U19" s="12">
        <f t="shared" si="3"/>
        <v>0.99852085449258454</v>
      </c>
      <c r="V19" s="28">
        <f>'FY 2008 Rev 01-04-10'!E11</f>
        <v>3079080</v>
      </c>
      <c r="W19" s="28">
        <v>3979230.29</v>
      </c>
      <c r="X19" s="28">
        <f>'FY 2008 Rev 01-04-10'!D11</f>
        <v>3979230.29</v>
      </c>
      <c r="Y19" s="12">
        <f t="shared" si="4"/>
        <v>1</v>
      </c>
    </row>
    <row r="20" spans="1:25" ht="15.75" customHeight="1">
      <c r="A20" s="215" t="s">
        <v>2</v>
      </c>
      <c r="B20" s="215"/>
      <c r="C20" s="22">
        <f t="shared" si="5"/>
        <v>15205012</v>
      </c>
      <c r="D20" s="22">
        <f t="shared" si="5"/>
        <v>15709446</v>
      </c>
      <c r="E20" s="12">
        <f t="shared" si="0"/>
        <v>1.0331755081811183</v>
      </c>
      <c r="F20" s="22">
        <f t="shared" si="1"/>
        <v>504434</v>
      </c>
      <c r="G20" s="14">
        <f t="shared" si="2"/>
        <v>15205012</v>
      </c>
      <c r="H20" s="15">
        <v>0</v>
      </c>
      <c r="I20" s="10">
        <v>1</v>
      </c>
      <c r="J20" s="21" t="str">
        <f t="shared" si="6"/>
        <v>Fees/Charges for Services</v>
      </c>
      <c r="K20" s="161">
        <v>15205012</v>
      </c>
      <c r="L20" s="161">
        <v>15709446</v>
      </c>
      <c r="M20" s="12">
        <f t="shared" si="7"/>
        <v>1.0331755081811183</v>
      </c>
      <c r="N20" s="16">
        <v>16957104</v>
      </c>
      <c r="O20" s="28">
        <v>14961200.730000002</v>
      </c>
      <c r="P20" s="165">
        <v>15217085</v>
      </c>
      <c r="Q20" s="12">
        <f t="shared" si="8"/>
        <v>0.98318440949761421</v>
      </c>
      <c r="R20" s="28">
        <f>'FY 2009 Rev 01-04-10'!E18</f>
        <v>19143500</v>
      </c>
      <c r="S20" s="28">
        <v>15551032.399999999</v>
      </c>
      <c r="T20" s="28">
        <f>'FY 2009 Rev 01-04-10'!D18</f>
        <v>15850676.109999999</v>
      </c>
      <c r="U20" s="12">
        <f t="shared" si="3"/>
        <v>0.9810958404600193</v>
      </c>
      <c r="V20" s="28">
        <f>'FY 2008 Rev 01-04-10'!E18</f>
        <v>16631625</v>
      </c>
      <c r="W20" s="28">
        <v>15930660.34</v>
      </c>
      <c r="X20" s="28">
        <f>'FY 2008 Rev 01-04-10'!D18</f>
        <v>15930660.34</v>
      </c>
      <c r="Y20" s="12">
        <f t="shared" si="4"/>
        <v>1</v>
      </c>
    </row>
    <row r="21" spans="1:25" ht="15.75" customHeight="1">
      <c r="A21" s="215" t="s">
        <v>4</v>
      </c>
      <c r="B21" s="215"/>
      <c r="C21" s="22">
        <f t="shared" si="5"/>
        <v>1748000</v>
      </c>
      <c r="D21" s="22">
        <f t="shared" si="5"/>
        <v>1989665</v>
      </c>
      <c r="E21" s="12">
        <f t="shared" si="0"/>
        <v>1.1382522883295194</v>
      </c>
      <c r="F21" s="22">
        <f t="shared" si="1"/>
        <v>241665</v>
      </c>
      <c r="G21" s="14">
        <f t="shared" si="2"/>
        <v>1748000</v>
      </c>
      <c r="H21" s="15">
        <v>0</v>
      </c>
      <c r="I21" s="10">
        <v>1</v>
      </c>
      <c r="J21" s="21" t="str">
        <f t="shared" si="6"/>
        <v>Fines</v>
      </c>
      <c r="K21" s="161">
        <v>1748000</v>
      </c>
      <c r="L21" s="161">
        <v>1989665</v>
      </c>
      <c r="M21" s="12">
        <f t="shared" si="7"/>
        <v>1.1382522883295194</v>
      </c>
      <c r="N21" s="16">
        <v>2301020</v>
      </c>
      <c r="O21" s="28">
        <v>1794927.36</v>
      </c>
      <c r="P21" s="165">
        <v>1821451</v>
      </c>
      <c r="Q21" s="12">
        <f t="shared" si="8"/>
        <v>0.98543818087887081</v>
      </c>
      <c r="R21" s="28">
        <f>'FY 2009 Rev 01-04-10'!E20</f>
        <v>2771000</v>
      </c>
      <c r="S21" s="28">
        <v>2231421.4900000002</v>
      </c>
      <c r="T21" s="28">
        <f>'FY 2009 Rev 01-04-10'!D20</f>
        <v>2270389.13</v>
      </c>
      <c r="U21" s="12">
        <f t="shared" si="3"/>
        <v>0.9828365809697126</v>
      </c>
      <c r="V21" s="28">
        <f>'FY 2008 Rev 01-04-10'!E20</f>
        <v>2967500</v>
      </c>
      <c r="W21" s="28">
        <v>2688475.7</v>
      </c>
      <c r="X21" s="28">
        <f>'FY 2008 Rev 01-04-10'!D20</f>
        <v>2688475.7</v>
      </c>
      <c r="Y21" s="12">
        <f t="shared" si="4"/>
        <v>1</v>
      </c>
    </row>
    <row r="22" spans="1:25" ht="15.75" customHeight="1">
      <c r="A22" s="215" t="s">
        <v>3</v>
      </c>
      <c r="B22" s="215"/>
      <c r="C22" s="22">
        <f t="shared" si="5"/>
        <v>1119600</v>
      </c>
      <c r="D22" s="22">
        <f t="shared" si="5"/>
        <v>1750128</v>
      </c>
      <c r="E22" s="12">
        <f t="shared" si="0"/>
        <v>1.5631725616291532</v>
      </c>
      <c r="F22" s="22">
        <f t="shared" si="1"/>
        <v>630528</v>
      </c>
      <c r="G22" s="14">
        <f t="shared" si="2"/>
        <v>1119600</v>
      </c>
      <c r="H22" s="15">
        <v>0</v>
      </c>
      <c r="I22" s="10">
        <v>1</v>
      </c>
      <c r="J22" s="21" t="str">
        <f t="shared" si="6"/>
        <v>Investment Revenue</v>
      </c>
      <c r="K22" s="161">
        <v>1119600</v>
      </c>
      <c r="L22" s="161">
        <v>1750128</v>
      </c>
      <c r="M22" s="12">
        <f t="shared" si="7"/>
        <v>1.5631725616291532</v>
      </c>
      <c r="N22" s="16">
        <v>3133290</v>
      </c>
      <c r="O22" s="28">
        <v>2178097.27</v>
      </c>
      <c r="P22" s="165">
        <v>2192285</v>
      </c>
      <c r="Q22" s="12">
        <f t="shared" si="8"/>
        <v>0.99352833687225883</v>
      </c>
      <c r="R22" s="28">
        <f>'FY 2009 Rev 01-04-10'!E23</f>
        <v>5168400</v>
      </c>
      <c r="S22" s="28">
        <v>3037572.64</v>
      </c>
      <c r="T22" s="28">
        <f>'FY 2009 Rev 01-04-10'!D23</f>
        <v>3039255.96</v>
      </c>
      <c r="U22" s="12">
        <f t="shared" si="3"/>
        <v>0.99944614075874028</v>
      </c>
      <c r="V22" s="28">
        <f>'FY 2008 Rev 01-04-10'!E23</f>
        <v>6994800</v>
      </c>
      <c r="W22" s="28">
        <v>6575786.3600000003</v>
      </c>
      <c r="X22" s="28">
        <f>'FY 2008 Rev 01-04-10'!D23</f>
        <v>6575786.3600000003</v>
      </c>
      <c r="Y22" s="12">
        <f t="shared" si="4"/>
        <v>1</v>
      </c>
    </row>
    <row r="23" spans="1:25" ht="15.75" customHeight="1" thickBot="1">
      <c r="A23" s="215" t="s">
        <v>27</v>
      </c>
      <c r="B23" s="215"/>
      <c r="C23" s="22">
        <f t="shared" si="5"/>
        <v>463840</v>
      </c>
      <c r="D23" s="22">
        <f t="shared" si="5"/>
        <v>732982</v>
      </c>
      <c r="E23" s="12">
        <f t="shared" si="0"/>
        <v>1.5802474991376336</v>
      </c>
      <c r="F23" s="22">
        <f t="shared" si="1"/>
        <v>269142</v>
      </c>
      <c r="G23" s="14">
        <f t="shared" si="2"/>
        <v>463840</v>
      </c>
      <c r="H23" s="15">
        <v>0</v>
      </c>
      <c r="I23" s="10">
        <v>1</v>
      </c>
      <c r="J23" s="21" t="str">
        <f t="shared" si="6"/>
        <v>Miscellaneous</v>
      </c>
      <c r="K23" s="162">
        <v>463840</v>
      </c>
      <c r="L23" s="162">
        <f>705996+15633+11353</f>
        <v>732982</v>
      </c>
      <c r="M23" s="163">
        <f t="shared" si="7"/>
        <v>1.5802474991376336</v>
      </c>
      <c r="N23" s="117">
        <f>519135+45000</f>
        <v>564135</v>
      </c>
      <c r="O23" s="118">
        <v>621292.79</v>
      </c>
      <c r="P23" s="167">
        <f>574051+220348</f>
        <v>794399</v>
      </c>
      <c r="Q23" s="152">
        <f t="shared" si="8"/>
        <v>0.7820916063590212</v>
      </c>
      <c r="R23" s="118">
        <f>'FY 2009 Rev 01-04-10'!E25+'FY 2009 Rev 01-04-10'!E29+'FY 2009 Rev 01-04-10'!E32</f>
        <v>499810</v>
      </c>
      <c r="S23" s="118">
        <v>831308.46</v>
      </c>
      <c r="T23" s="118">
        <f>'FY 2009 Rev 01-04-10'!D25+'FY 2009 Rev 01-04-10'!D29+'FY 2009 Rev 01-04-10'!D32</f>
        <v>837358.54999999993</v>
      </c>
      <c r="U23" s="152">
        <f t="shared" si="3"/>
        <v>0.99277479163495741</v>
      </c>
      <c r="V23" s="118">
        <f>'FY 2008 Rev 01-04-10'!E25+'FY 2008 Rev 01-04-10'!E29+'FY 2008 Rev 01-04-10'!E32</f>
        <v>500000</v>
      </c>
      <c r="W23" s="118">
        <v>2058982.75</v>
      </c>
      <c r="X23" s="118">
        <f>'FY 2008 Rev 01-04-10'!D25+'FY 2008 Rev 01-04-10'!D29+'FY 2008 Rev 01-04-10'!D32</f>
        <v>2058982.75</v>
      </c>
      <c r="Y23" s="152">
        <f t="shared" si="4"/>
        <v>1</v>
      </c>
    </row>
    <row r="24" spans="1:25" ht="15.75" customHeight="1" thickBot="1">
      <c r="A24" s="216" t="s">
        <v>28</v>
      </c>
      <c r="B24" s="216"/>
      <c r="C24" s="11">
        <f>SUM(C17:C23)</f>
        <v>152716319</v>
      </c>
      <c r="D24" s="11">
        <f>SUM(D17:D23)</f>
        <v>154429850</v>
      </c>
      <c r="E24" s="12">
        <f t="shared" si="0"/>
        <v>1.0112203529473494</v>
      </c>
      <c r="F24" s="17">
        <f>SUM(F17:F23)</f>
        <v>1713531</v>
      </c>
      <c r="G24" s="14">
        <f t="shared" si="2"/>
        <v>152716319</v>
      </c>
      <c r="H24" s="27"/>
      <c r="J24" s="21"/>
      <c r="K24" s="164">
        <f>SUM(K17:K23)</f>
        <v>152716319</v>
      </c>
      <c r="L24" s="160">
        <f>SUM(L17:L23)</f>
        <v>154429850</v>
      </c>
      <c r="M24" s="153">
        <f t="shared" si="7"/>
        <v>1.0112203529473494</v>
      </c>
      <c r="N24" s="116">
        <f>SUM(N17:N23)</f>
        <v>156957414</v>
      </c>
      <c r="O24" s="116">
        <f>SUM(O17:O23)</f>
        <v>152800728.23000002</v>
      </c>
      <c r="P24" s="116">
        <f>SUM(P17:P23)</f>
        <v>154207530</v>
      </c>
      <c r="Q24" s="153">
        <f t="shared" si="8"/>
        <v>0.99087721740955204</v>
      </c>
      <c r="R24" s="116">
        <f>SUM(R17:R23)</f>
        <v>150487306</v>
      </c>
      <c r="S24" s="116">
        <f>SUM(S17:S23)</f>
        <v>145407515.52000001</v>
      </c>
      <c r="T24" s="116">
        <f>SUM(T17:T23)</f>
        <v>145962457.22</v>
      </c>
      <c r="U24" s="153">
        <f t="shared" si="3"/>
        <v>0.99619805181024346</v>
      </c>
      <c r="V24" s="116">
        <f>SUM(V17:V23)</f>
        <v>136743194</v>
      </c>
      <c r="W24" s="116">
        <f>SUM(W17:W23)</f>
        <v>148636236.79000002</v>
      </c>
      <c r="X24" s="116">
        <f>SUM(X17:X23)</f>
        <v>148636236.78999999</v>
      </c>
      <c r="Y24" s="153">
        <f t="shared" si="4"/>
        <v>1.0000000000000002</v>
      </c>
    </row>
    <row r="25" spans="1:25" ht="22.5" customHeight="1" thickTop="1">
      <c r="J25" s="21"/>
      <c r="K25" s="26"/>
    </row>
    <row r="26" spans="1:25">
      <c r="J26" s="21"/>
      <c r="K26" s="26"/>
    </row>
    <row r="40" spans="1:30">
      <c r="J40" s="135"/>
      <c r="K40" s="135"/>
    </row>
    <row r="41" spans="1:30">
      <c r="J41" s="135"/>
      <c r="K41" s="135"/>
    </row>
    <row r="42" spans="1:30">
      <c r="J42" s="135"/>
      <c r="K42" s="135"/>
    </row>
    <row r="43" spans="1:30">
      <c r="J43" s="135"/>
      <c r="K43" s="135"/>
    </row>
    <row r="44" spans="1:30">
      <c r="J44" s="135"/>
      <c r="K44" s="135"/>
    </row>
    <row r="45" spans="1:30">
      <c r="J45" s="135"/>
      <c r="K45" s="135"/>
    </row>
    <row r="46" spans="1:30" ht="50.25" customHeight="1">
      <c r="A46" s="213" t="s">
        <v>37</v>
      </c>
      <c r="B46" s="213"/>
      <c r="C46" s="213"/>
      <c r="D46" s="213"/>
      <c r="E46" s="213"/>
      <c r="F46" s="213"/>
      <c r="J46" s="135"/>
      <c r="K46" s="135"/>
    </row>
    <row r="47" spans="1:30" ht="12" customHeight="1">
      <c r="B47" s="18"/>
      <c r="C47" s="18"/>
      <c r="D47" s="18"/>
      <c r="E47" s="18"/>
      <c r="J47" s="135"/>
      <c r="K47" s="135"/>
    </row>
    <row r="48" spans="1:30" ht="36" customHeight="1">
      <c r="A48" s="217"/>
      <c r="B48" s="217"/>
      <c r="C48" s="19" t="s">
        <v>143</v>
      </c>
      <c r="D48" s="19" t="s">
        <v>175</v>
      </c>
      <c r="E48" s="19" t="s">
        <v>25</v>
      </c>
      <c r="F48" s="9" t="s">
        <v>171</v>
      </c>
      <c r="G48" s="10">
        <v>1</v>
      </c>
      <c r="H48" s="2" t="s">
        <v>45</v>
      </c>
      <c r="K48" s="154" t="s">
        <v>143</v>
      </c>
      <c r="L48" s="150" t="s">
        <v>176</v>
      </c>
      <c r="M48" s="151">
        <v>2011</v>
      </c>
      <c r="N48" s="150" t="s">
        <v>147</v>
      </c>
      <c r="O48" s="154" t="s">
        <v>99</v>
      </c>
      <c r="P48" s="150" t="s">
        <v>177</v>
      </c>
      <c r="Q48" s="151">
        <v>2010</v>
      </c>
      <c r="R48" s="150" t="s">
        <v>116</v>
      </c>
      <c r="S48" s="150" t="s">
        <v>1</v>
      </c>
      <c r="T48" s="150" t="s">
        <v>178</v>
      </c>
      <c r="U48" s="151">
        <v>2009</v>
      </c>
      <c r="V48" s="150" t="s">
        <v>118</v>
      </c>
      <c r="W48" s="150">
        <v>2009</v>
      </c>
      <c r="X48" s="150" t="s">
        <v>119</v>
      </c>
      <c r="Y48" s="150" t="s">
        <v>111</v>
      </c>
      <c r="Z48" s="150" t="s">
        <v>179</v>
      </c>
      <c r="AA48" s="151">
        <v>2008</v>
      </c>
      <c r="AB48" s="150" t="s">
        <v>121</v>
      </c>
      <c r="AC48" s="150">
        <v>2008</v>
      </c>
      <c r="AD48" s="150" t="s">
        <v>122</v>
      </c>
    </row>
    <row r="49" spans="1:30" ht="15.75" customHeight="1">
      <c r="A49" s="218" t="s">
        <v>30</v>
      </c>
      <c r="B49" s="219"/>
      <c r="C49" s="11">
        <f>K49</f>
        <v>315395</v>
      </c>
      <c r="D49" s="11">
        <f>L49</f>
        <v>270030</v>
      </c>
      <c r="E49" s="12">
        <f t="shared" ref="E49:E60" si="9">(D49/C49)</f>
        <v>0.85616449214477086</v>
      </c>
      <c r="F49" s="11">
        <f>+G49-D49</f>
        <v>45365</v>
      </c>
      <c r="G49" s="23">
        <f>C49</f>
        <v>315395</v>
      </c>
      <c r="H49" s="24">
        <f t="shared" ref="H49:H57" si="10">C49-D49</f>
        <v>45365</v>
      </c>
      <c r="I49" s="1">
        <v>1</v>
      </c>
      <c r="J49" s="135" t="s">
        <v>30</v>
      </c>
      <c r="K49" s="13">
        <v>315395</v>
      </c>
      <c r="L49" s="13">
        <v>270030</v>
      </c>
      <c r="M49" s="155">
        <f t="shared" ref="M49:M60" si="11">(L49/K49)</f>
        <v>0.85616449214477086</v>
      </c>
      <c r="N49" s="13">
        <f>K49-L49</f>
        <v>45365</v>
      </c>
      <c r="O49" s="13">
        <v>302496</v>
      </c>
      <c r="P49" s="13">
        <v>268555.12</v>
      </c>
      <c r="Q49" s="155">
        <f t="shared" ref="Q49:Q60" si="12">(P49/O49)</f>
        <v>0.88779726012905957</v>
      </c>
      <c r="R49" s="13">
        <f>O49-P49</f>
        <v>33940.880000000005</v>
      </c>
      <c r="S49" s="13">
        <f>'FY 2009 Exp 01-06-10'!C2</f>
        <v>307595</v>
      </c>
      <c r="T49" s="13">
        <v>277827.39</v>
      </c>
      <c r="U49" s="155">
        <f>T49/S49</f>
        <v>0.9032246622994522</v>
      </c>
      <c r="V49" s="13">
        <f>'FY 2009 Exp 01-06-10'!D2</f>
        <v>307595</v>
      </c>
      <c r="W49" s="155">
        <f>T49/V49</f>
        <v>0.9032246622994522</v>
      </c>
      <c r="X49" s="13">
        <f>S49-T49</f>
        <v>29767.609999999986</v>
      </c>
      <c r="Y49" s="13">
        <f>'FY 2008 Exp 01-06-10'!C2</f>
        <v>326242</v>
      </c>
      <c r="Z49" s="13">
        <v>298044.79999999999</v>
      </c>
      <c r="AA49" s="155">
        <f>Z49/Y49</f>
        <v>0.91356968140214934</v>
      </c>
      <c r="AB49" s="13">
        <f>'FY 2008 Exp 01-06-10'!D2</f>
        <v>326266</v>
      </c>
      <c r="AC49" s="155">
        <f>Z49/AB49</f>
        <v>0.91350247957188302</v>
      </c>
      <c r="AD49" s="13">
        <f>Y49-Z49</f>
        <v>28197.200000000012</v>
      </c>
    </row>
    <row r="50" spans="1:30" ht="15.75" customHeight="1">
      <c r="A50" s="218" t="s">
        <v>123</v>
      </c>
      <c r="B50" s="219"/>
      <c r="C50" s="22">
        <f t="shared" ref="C50:D59" si="13">K50</f>
        <v>376370</v>
      </c>
      <c r="D50" s="22">
        <f t="shared" si="13"/>
        <v>367440</v>
      </c>
      <c r="E50" s="12">
        <f t="shared" si="9"/>
        <v>0.97627334803517818</v>
      </c>
      <c r="F50" s="22">
        <f t="shared" ref="F50:F60" si="14">+G50-D50</f>
        <v>8930</v>
      </c>
      <c r="G50" s="23">
        <f t="shared" ref="G50:G60" si="15">C50</f>
        <v>376370</v>
      </c>
      <c r="H50" s="25">
        <f t="shared" si="10"/>
        <v>8930</v>
      </c>
      <c r="I50" s="1">
        <v>1</v>
      </c>
      <c r="J50" s="135" t="s">
        <v>123</v>
      </c>
      <c r="K50" s="156">
        <v>376370</v>
      </c>
      <c r="L50" s="156">
        <v>367440</v>
      </c>
      <c r="M50" s="155">
        <f t="shared" si="11"/>
        <v>0.97627334803517818</v>
      </c>
      <c r="N50" s="156">
        <f t="shared" ref="N50:N59" si="16">K50-L50</f>
        <v>8930</v>
      </c>
      <c r="O50" s="156">
        <v>411370</v>
      </c>
      <c r="P50" s="156">
        <v>423925.69</v>
      </c>
      <c r="Q50" s="155">
        <f t="shared" si="12"/>
        <v>1.0305216471789387</v>
      </c>
      <c r="R50" s="156">
        <f t="shared" ref="R50:R59" si="17">O50-P50</f>
        <v>-12555.690000000002</v>
      </c>
      <c r="S50" s="156">
        <f>'FY 2009 Exp 01-06-10'!C3</f>
        <v>510370</v>
      </c>
      <c r="T50" s="156">
        <v>496194.61</v>
      </c>
      <c r="U50" s="155">
        <f t="shared" ref="U50:U60" si="18">T50/S50</f>
        <v>0.9722252679428649</v>
      </c>
      <c r="V50" s="156">
        <f>'FY 2009 Exp 01-06-10'!D3</f>
        <v>575162</v>
      </c>
      <c r="W50" s="155">
        <f t="shared" ref="W50:W60" si="19">T50/V50</f>
        <v>0.86270409032585604</v>
      </c>
      <c r="X50" s="13">
        <f t="shared" ref="X50:X59" si="20">S50-T50</f>
        <v>14175.390000000014</v>
      </c>
      <c r="Y50" s="156">
        <f>'FY 2008 Exp 01-06-10'!C3</f>
        <v>461110</v>
      </c>
      <c r="Z50" s="156">
        <v>427877.16000000003</v>
      </c>
      <c r="AA50" s="155">
        <f t="shared" ref="AA50:AA60" si="21">Z50/Y50</f>
        <v>0.92792860705688451</v>
      </c>
      <c r="AB50" s="156">
        <f>'FY 2008 Exp 01-06-10'!D3</f>
        <v>497765</v>
      </c>
      <c r="AC50" s="155">
        <f t="shared" ref="AC50:AC60" si="22">Z50/AB50</f>
        <v>0.85959671732644927</v>
      </c>
      <c r="AD50" s="13">
        <f t="shared" ref="AD50:AD59" si="23">Y50-Z50</f>
        <v>33232.839999999967</v>
      </c>
    </row>
    <row r="51" spans="1:30" ht="15.75" customHeight="1">
      <c r="A51" s="218" t="s">
        <v>31</v>
      </c>
      <c r="B51" s="219"/>
      <c r="C51" s="22">
        <f t="shared" si="13"/>
        <v>2892101</v>
      </c>
      <c r="D51" s="22">
        <f t="shared" si="13"/>
        <v>2538909</v>
      </c>
      <c r="E51" s="12">
        <f t="shared" si="9"/>
        <v>0.87787701743473001</v>
      </c>
      <c r="F51" s="28">
        <f t="shared" si="14"/>
        <v>353192</v>
      </c>
      <c r="G51" s="23">
        <f t="shared" si="15"/>
        <v>2892101</v>
      </c>
      <c r="H51" s="25">
        <f t="shared" si="10"/>
        <v>353192</v>
      </c>
      <c r="I51" s="1">
        <v>1</v>
      </c>
      <c r="J51" s="135" t="s">
        <v>31</v>
      </c>
      <c r="K51" s="156">
        <v>2892101</v>
      </c>
      <c r="L51" s="156">
        <v>2538909</v>
      </c>
      <c r="M51" s="155">
        <f t="shared" si="11"/>
        <v>0.87787701743473001</v>
      </c>
      <c r="N51" s="156">
        <f t="shared" si="16"/>
        <v>353192</v>
      </c>
      <c r="O51" s="156">
        <v>3263326</v>
      </c>
      <c r="P51" s="156">
        <v>2686839.94</v>
      </c>
      <c r="Q51" s="155">
        <f t="shared" si="12"/>
        <v>0.82334401772915111</v>
      </c>
      <c r="R51" s="156">
        <f t="shared" si="17"/>
        <v>576486.06000000006</v>
      </c>
      <c r="S51" s="156">
        <f>'FY 2009 Exp 01-06-10'!C5</f>
        <v>3360551</v>
      </c>
      <c r="T51" s="156">
        <v>2685580.69</v>
      </c>
      <c r="U51" s="155">
        <f t="shared" si="18"/>
        <v>0.79914891635330043</v>
      </c>
      <c r="V51" s="156">
        <f>'FY 2009 Exp 01-06-10'!D5</f>
        <v>3258569</v>
      </c>
      <c r="W51" s="155">
        <f t="shared" si="19"/>
        <v>0.82415952830828498</v>
      </c>
      <c r="X51" s="13">
        <f t="shared" si="20"/>
        <v>674970.31</v>
      </c>
      <c r="Y51" s="156">
        <f>'FY 2008 Exp 01-06-10'!C5</f>
        <v>2433415</v>
      </c>
      <c r="Z51" s="156">
        <v>2877875.92</v>
      </c>
      <c r="AA51" s="155">
        <f t="shared" si="21"/>
        <v>1.1826490426006251</v>
      </c>
      <c r="AB51" s="156">
        <f>'FY 2008 Exp 01-06-10'!D5</f>
        <v>3116351</v>
      </c>
      <c r="AC51" s="155">
        <f t="shared" si="22"/>
        <v>0.92347618095650974</v>
      </c>
      <c r="AD51" s="13">
        <f t="shared" si="23"/>
        <v>-444460.91999999993</v>
      </c>
    </row>
    <row r="52" spans="1:30" ht="15.75" customHeight="1">
      <c r="A52" s="218" t="s">
        <v>15</v>
      </c>
      <c r="B52" s="219"/>
      <c r="C52" s="22">
        <f t="shared" si="13"/>
        <v>10586321</v>
      </c>
      <c r="D52" s="22">
        <f t="shared" si="13"/>
        <v>9806126</v>
      </c>
      <c r="E52" s="12">
        <f t="shared" si="9"/>
        <v>0.92630159240400889</v>
      </c>
      <c r="F52" s="28">
        <f t="shared" si="14"/>
        <v>780195</v>
      </c>
      <c r="G52" s="23">
        <f t="shared" si="15"/>
        <v>10586321</v>
      </c>
      <c r="H52" s="25">
        <f t="shared" si="10"/>
        <v>780195</v>
      </c>
      <c r="I52" s="1">
        <v>1</v>
      </c>
      <c r="J52" s="135" t="s">
        <v>15</v>
      </c>
      <c r="K52" s="156">
        <v>10586321</v>
      </c>
      <c r="L52" s="156">
        <v>9806126</v>
      </c>
      <c r="M52" s="155">
        <f t="shared" si="11"/>
        <v>0.92630159240400889</v>
      </c>
      <c r="N52" s="156">
        <f t="shared" si="16"/>
        <v>780195</v>
      </c>
      <c r="O52" s="156">
        <v>10604579</v>
      </c>
      <c r="P52" s="156">
        <v>9887771.1099999994</v>
      </c>
      <c r="Q52" s="155">
        <f t="shared" si="12"/>
        <v>0.93240581356412167</v>
      </c>
      <c r="R52" s="156">
        <f t="shared" si="17"/>
        <v>716807.8900000006</v>
      </c>
      <c r="S52" s="156">
        <f>'FY 2009 Exp 01-06-10'!C6</f>
        <v>10906229</v>
      </c>
      <c r="T52" s="156">
        <v>10149261.580000002</v>
      </c>
      <c r="U52" s="155">
        <f t="shared" si="18"/>
        <v>0.93059311151453006</v>
      </c>
      <c r="V52" s="156">
        <f>'FY 2009 Exp 01-06-10'!D6</f>
        <v>11732575</v>
      </c>
      <c r="W52" s="155">
        <f t="shared" si="19"/>
        <v>0.86504979341704624</v>
      </c>
      <c r="X52" s="13">
        <f t="shared" si="20"/>
        <v>756967.41999999806</v>
      </c>
      <c r="Y52" s="156">
        <f>'FY 2008 Exp 01-06-10'!C6</f>
        <v>9925189</v>
      </c>
      <c r="Z52" s="156">
        <v>9715645.6400000006</v>
      </c>
      <c r="AA52" s="155">
        <f t="shared" si="21"/>
        <v>0.9788877209290423</v>
      </c>
      <c r="AB52" s="156">
        <f>'FY 2008 Exp 01-06-10'!D6</f>
        <v>10190881</v>
      </c>
      <c r="AC52" s="155">
        <f t="shared" si="22"/>
        <v>0.95336660687137853</v>
      </c>
      <c r="AD52" s="13">
        <f t="shared" si="23"/>
        <v>209543.3599999994</v>
      </c>
    </row>
    <row r="53" spans="1:30" ht="15.75" customHeight="1">
      <c r="A53" s="218" t="s">
        <v>180</v>
      </c>
      <c r="B53" s="219"/>
      <c r="C53" s="22">
        <f t="shared" si="13"/>
        <v>36594199</v>
      </c>
      <c r="D53" s="22">
        <f t="shared" si="13"/>
        <v>63223505</v>
      </c>
      <c r="E53" s="12">
        <f t="shared" si="9"/>
        <v>1.727692003861049</v>
      </c>
      <c r="F53" s="22">
        <f t="shared" si="14"/>
        <v>-26629306</v>
      </c>
      <c r="G53" s="23">
        <f t="shared" si="15"/>
        <v>36594199</v>
      </c>
      <c r="H53" s="25">
        <v>0</v>
      </c>
      <c r="I53" s="1">
        <v>1</v>
      </c>
      <c r="J53" s="135" t="s">
        <v>151</v>
      </c>
      <c r="K53" s="156">
        <v>36594199</v>
      </c>
      <c r="L53" s="156">
        <v>63223505</v>
      </c>
      <c r="M53" s="155">
        <f t="shared" si="11"/>
        <v>1.727692003861049</v>
      </c>
      <c r="N53" s="156">
        <f t="shared" si="16"/>
        <v>-26629306</v>
      </c>
      <c r="O53" s="156">
        <v>36033186</v>
      </c>
      <c r="P53" s="156">
        <v>28645456.449999999</v>
      </c>
      <c r="Q53" s="155">
        <f t="shared" si="12"/>
        <v>0.79497428981161977</v>
      </c>
      <c r="R53" s="156">
        <f t="shared" si="17"/>
        <v>7387729.5500000007</v>
      </c>
      <c r="S53" s="156">
        <f>'FY 2009 Exp 01-06-10'!C7</f>
        <v>34955768</v>
      </c>
      <c r="T53" s="156">
        <v>23074337.329999998</v>
      </c>
      <c r="U53" s="155">
        <f t="shared" si="18"/>
        <v>0.66010099763792907</v>
      </c>
      <c r="V53" s="156">
        <f>'FY 2009 Exp 01-06-10'!D7</f>
        <v>31765451</v>
      </c>
      <c r="W53" s="155">
        <f t="shared" si="19"/>
        <v>0.72639728395482239</v>
      </c>
      <c r="X53" s="13">
        <f t="shared" si="20"/>
        <v>11881430.670000002</v>
      </c>
      <c r="Y53" s="156">
        <f>'FY 2008 Exp 01-06-10'!C7</f>
        <v>33931130</v>
      </c>
      <c r="Z53" s="156">
        <v>21719459.130000003</v>
      </c>
      <c r="AA53" s="155">
        <f t="shared" si="21"/>
        <v>0.64010420902575316</v>
      </c>
      <c r="AB53" s="156">
        <f>'FY 2008 Exp 01-06-10'!D7</f>
        <v>30400731</v>
      </c>
      <c r="AC53" s="155">
        <f t="shared" si="22"/>
        <v>0.71443871300331574</v>
      </c>
      <c r="AD53" s="13">
        <f t="shared" si="23"/>
        <v>12211670.869999997</v>
      </c>
    </row>
    <row r="54" spans="1:30" ht="15.75" customHeight="1">
      <c r="A54" s="218" t="s">
        <v>124</v>
      </c>
      <c r="B54" s="219"/>
      <c r="C54" s="22">
        <f t="shared" si="13"/>
        <v>12350821</v>
      </c>
      <c r="D54" s="22">
        <f t="shared" si="13"/>
        <v>11267992</v>
      </c>
      <c r="E54" s="12">
        <f t="shared" si="9"/>
        <v>0.91232736673942572</v>
      </c>
      <c r="F54" s="28">
        <f t="shared" si="14"/>
        <v>1082829</v>
      </c>
      <c r="G54" s="23">
        <f t="shared" si="15"/>
        <v>12350821</v>
      </c>
      <c r="H54" s="25">
        <f t="shared" si="10"/>
        <v>1082829</v>
      </c>
      <c r="I54" s="1">
        <v>1</v>
      </c>
      <c r="J54" s="135" t="s">
        <v>124</v>
      </c>
      <c r="K54" s="156">
        <v>12350821</v>
      </c>
      <c r="L54" s="156">
        <v>11267992</v>
      </c>
      <c r="M54" s="155">
        <f t="shared" si="11"/>
        <v>0.91232736673942572</v>
      </c>
      <c r="N54" s="156">
        <f t="shared" si="16"/>
        <v>1082829</v>
      </c>
      <c r="O54" s="156">
        <v>11603014</v>
      </c>
      <c r="P54" s="156">
        <v>10842673.359999999</v>
      </c>
      <c r="Q54" s="155">
        <f t="shared" si="12"/>
        <v>0.93447041949617571</v>
      </c>
      <c r="R54" s="156">
        <f t="shared" si="17"/>
        <v>760340.6400000006</v>
      </c>
      <c r="S54" s="156">
        <f>'FY 2009 Exp 01-06-10'!C8</f>
        <v>11138553</v>
      </c>
      <c r="T54" s="156">
        <v>10943624.65</v>
      </c>
      <c r="U54" s="155">
        <f t="shared" si="18"/>
        <v>0.98249967028930962</v>
      </c>
      <c r="V54" s="156">
        <f>'FY 2009 Exp 01-06-10'!D8</f>
        <v>12178567</v>
      </c>
      <c r="W54" s="155">
        <f t="shared" si="19"/>
        <v>0.89859707221711715</v>
      </c>
      <c r="X54" s="13">
        <f t="shared" si="20"/>
        <v>194928.34999999963</v>
      </c>
      <c r="Y54" s="156">
        <f>'FY 2008 Exp 01-06-10'!C8</f>
        <v>10691922</v>
      </c>
      <c r="Z54" s="156">
        <v>11228455.450000001</v>
      </c>
      <c r="AA54" s="155">
        <f t="shared" si="21"/>
        <v>1.0501811975433417</v>
      </c>
      <c r="AB54" s="156">
        <f>'FY 2008 Exp 01-06-10'!D8</f>
        <v>11576518</v>
      </c>
      <c r="AC54" s="155">
        <f t="shared" si="22"/>
        <v>0.96993374432623014</v>
      </c>
      <c r="AD54" s="13">
        <f t="shared" si="23"/>
        <v>-536533.45000000112</v>
      </c>
    </row>
    <row r="55" spans="1:30" ht="15.75" customHeight="1">
      <c r="A55" s="218" t="s">
        <v>32</v>
      </c>
      <c r="B55" s="219"/>
      <c r="C55" s="22">
        <f t="shared" si="13"/>
        <v>14589387</v>
      </c>
      <c r="D55" s="22">
        <f t="shared" si="13"/>
        <v>13801449</v>
      </c>
      <c r="E55" s="12">
        <f t="shared" si="9"/>
        <v>0.94599238473830327</v>
      </c>
      <c r="F55" s="28">
        <f t="shared" si="14"/>
        <v>787938</v>
      </c>
      <c r="G55" s="23">
        <f t="shared" si="15"/>
        <v>14589387</v>
      </c>
      <c r="H55" s="25">
        <f t="shared" si="10"/>
        <v>787938</v>
      </c>
      <c r="I55" s="1">
        <v>1</v>
      </c>
      <c r="J55" s="135" t="s">
        <v>32</v>
      </c>
      <c r="K55" s="156">
        <v>14589387</v>
      </c>
      <c r="L55" s="156">
        <v>13801449</v>
      </c>
      <c r="M55" s="155">
        <f t="shared" si="11"/>
        <v>0.94599238473830327</v>
      </c>
      <c r="N55" s="156">
        <f t="shared" si="16"/>
        <v>787938</v>
      </c>
      <c r="O55" s="156">
        <v>14742575</v>
      </c>
      <c r="P55" s="156">
        <v>13640147.98</v>
      </c>
      <c r="Q55" s="155">
        <f t="shared" si="12"/>
        <v>0.92522154236963361</v>
      </c>
      <c r="R55" s="156">
        <f t="shared" si="17"/>
        <v>1102427.0199999996</v>
      </c>
      <c r="S55" s="156">
        <f>'FY 2009 Exp 01-06-10'!C9</f>
        <v>14546174</v>
      </c>
      <c r="T55" s="156">
        <v>13457052.160000002</v>
      </c>
      <c r="U55" s="155">
        <f t="shared" si="18"/>
        <v>0.92512657692668887</v>
      </c>
      <c r="V55" s="156">
        <f>'FY 2009 Exp 01-06-10'!D9</f>
        <v>14631394</v>
      </c>
      <c r="W55" s="155">
        <f t="shared" si="19"/>
        <v>0.91973821223049579</v>
      </c>
      <c r="X55" s="13">
        <f t="shared" si="20"/>
        <v>1089121.839999998</v>
      </c>
      <c r="Y55" s="156">
        <f>'FY 2008 Exp 01-06-10'!C9</f>
        <v>13877308</v>
      </c>
      <c r="Z55" s="156">
        <v>13713384.859999999</v>
      </c>
      <c r="AA55" s="155">
        <f t="shared" si="21"/>
        <v>0.98818768452786376</v>
      </c>
      <c r="AB55" s="156">
        <f>'FY 2008 Exp 01-06-10'!D9</f>
        <v>14249804</v>
      </c>
      <c r="AC55" s="155">
        <f t="shared" si="22"/>
        <v>0.96235603380930712</v>
      </c>
      <c r="AD55" s="13">
        <f t="shared" si="23"/>
        <v>163923.1400000006</v>
      </c>
    </row>
    <row r="56" spans="1:30" ht="15.75" customHeight="1">
      <c r="A56" s="218" t="s">
        <v>33</v>
      </c>
      <c r="B56" s="219"/>
      <c r="C56" s="22">
        <f t="shared" si="13"/>
        <v>10895570</v>
      </c>
      <c r="D56" s="22">
        <f t="shared" si="13"/>
        <v>10121700</v>
      </c>
      <c r="E56" s="12">
        <f t="shared" si="9"/>
        <v>0.92897388571685557</v>
      </c>
      <c r="F56" s="28">
        <f t="shared" si="14"/>
        <v>773870</v>
      </c>
      <c r="G56" s="23">
        <f t="shared" si="15"/>
        <v>10895570</v>
      </c>
      <c r="H56" s="25">
        <f t="shared" si="10"/>
        <v>773870</v>
      </c>
      <c r="I56" s="1">
        <v>1</v>
      </c>
      <c r="J56" s="135" t="s">
        <v>33</v>
      </c>
      <c r="K56" s="156">
        <v>10895570</v>
      </c>
      <c r="L56" s="156">
        <v>10121700</v>
      </c>
      <c r="M56" s="155">
        <f t="shared" si="11"/>
        <v>0.92897388571685557</v>
      </c>
      <c r="N56" s="156">
        <f t="shared" si="16"/>
        <v>773870</v>
      </c>
      <c r="O56" s="156">
        <v>10775827</v>
      </c>
      <c r="P56" s="156">
        <v>10309398.390000001</v>
      </c>
      <c r="Q56" s="155">
        <f t="shared" si="12"/>
        <v>0.95671528412622076</v>
      </c>
      <c r="R56" s="156">
        <f t="shared" si="17"/>
        <v>466428.6099999994</v>
      </c>
      <c r="S56" s="156">
        <f>'FY 2009 Exp 01-06-10'!C10</f>
        <v>10460745</v>
      </c>
      <c r="T56" s="156">
        <v>10012646.199999999</v>
      </c>
      <c r="U56" s="155">
        <f t="shared" si="18"/>
        <v>0.95716377753209736</v>
      </c>
      <c r="V56" s="156">
        <f>'FY 2009 Exp 01-06-10'!D10</f>
        <v>10518776</v>
      </c>
      <c r="W56" s="155">
        <f t="shared" si="19"/>
        <v>0.95188320390129033</v>
      </c>
      <c r="X56" s="13">
        <f t="shared" si="20"/>
        <v>448098.80000000075</v>
      </c>
      <c r="Y56" s="156">
        <f>'FY 2008 Exp 01-06-10'!C10</f>
        <v>10121330</v>
      </c>
      <c r="Z56" s="156">
        <v>9879428.4400000013</v>
      </c>
      <c r="AA56" s="155">
        <f t="shared" si="21"/>
        <v>0.97609982482539359</v>
      </c>
      <c r="AB56" s="156">
        <f>'FY 2008 Exp 01-06-10'!D10</f>
        <v>10185578</v>
      </c>
      <c r="AC56" s="155">
        <f t="shared" si="22"/>
        <v>0.96994283878637044</v>
      </c>
      <c r="AD56" s="13">
        <f t="shared" si="23"/>
        <v>241901.55999999866</v>
      </c>
    </row>
    <row r="57" spans="1:30" ht="15.75" customHeight="1">
      <c r="A57" s="218" t="s">
        <v>34</v>
      </c>
      <c r="B57" s="219"/>
      <c r="C57" s="22">
        <f t="shared" si="13"/>
        <v>10218116</v>
      </c>
      <c r="D57" s="22">
        <f t="shared" si="13"/>
        <v>9578543</v>
      </c>
      <c r="E57" s="12">
        <f t="shared" si="9"/>
        <v>0.93740793312583259</v>
      </c>
      <c r="F57" s="28">
        <f t="shared" si="14"/>
        <v>639573</v>
      </c>
      <c r="G57" s="23">
        <f t="shared" si="15"/>
        <v>10218116</v>
      </c>
      <c r="H57" s="25">
        <f t="shared" si="10"/>
        <v>639573</v>
      </c>
      <c r="I57" s="1">
        <v>1</v>
      </c>
      <c r="J57" s="135" t="s">
        <v>34</v>
      </c>
      <c r="K57" s="156">
        <v>10218116</v>
      </c>
      <c r="L57" s="156">
        <v>9578543</v>
      </c>
      <c r="M57" s="155">
        <f t="shared" si="11"/>
        <v>0.93740793312583259</v>
      </c>
      <c r="N57" s="156">
        <f t="shared" si="16"/>
        <v>639573</v>
      </c>
      <c r="O57" s="156">
        <v>10781064</v>
      </c>
      <c r="P57" s="156">
        <v>9270329</v>
      </c>
      <c r="Q57" s="155">
        <f t="shared" si="12"/>
        <v>0.85987143755013418</v>
      </c>
      <c r="R57" s="156">
        <f t="shared" si="17"/>
        <v>1510735</v>
      </c>
      <c r="S57" s="156">
        <f>'FY 2009 Exp 01-06-10'!C11</f>
        <v>10829424</v>
      </c>
      <c r="T57" s="156">
        <v>9628056.3699999992</v>
      </c>
      <c r="U57" s="155">
        <f t="shared" si="18"/>
        <v>0.88906449410421085</v>
      </c>
      <c r="V57" s="156">
        <f>'FY 2009 Exp 01-06-10'!D11</f>
        <v>11207054</v>
      </c>
      <c r="W57" s="155">
        <f t="shared" si="19"/>
        <v>0.85910680630253045</v>
      </c>
      <c r="X57" s="13">
        <f t="shared" si="20"/>
        <v>1201367.6300000008</v>
      </c>
      <c r="Y57" s="156">
        <f>'FY 2008 Exp 01-06-10'!C11</f>
        <v>10503495</v>
      </c>
      <c r="Z57" s="156">
        <v>10422258.479999999</v>
      </c>
      <c r="AA57" s="155">
        <f t="shared" si="21"/>
        <v>0.99226576296746927</v>
      </c>
      <c r="AB57" s="156">
        <f>'FY 2008 Exp 01-06-10'!D11</f>
        <v>11177385</v>
      </c>
      <c r="AC57" s="155">
        <f t="shared" si="22"/>
        <v>0.93244157555635765</v>
      </c>
      <c r="AD57" s="13">
        <f t="shared" si="23"/>
        <v>81236.520000001416</v>
      </c>
    </row>
    <row r="58" spans="1:30" ht="15.75" customHeight="1">
      <c r="A58" s="218" t="s">
        <v>35</v>
      </c>
      <c r="B58" s="219"/>
      <c r="C58" s="22">
        <f t="shared" si="13"/>
        <v>45505343</v>
      </c>
      <c r="D58" s="22">
        <f t="shared" si="13"/>
        <v>44235446</v>
      </c>
      <c r="E58" s="12">
        <f t="shared" si="9"/>
        <v>0.97209345285014115</v>
      </c>
      <c r="F58" s="28">
        <f t="shared" si="14"/>
        <v>1269897</v>
      </c>
      <c r="G58" s="23">
        <f t="shared" si="15"/>
        <v>45505343</v>
      </c>
      <c r="H58" s="25">
        <f>C58-D58</f>
        <v>1269897</v>
      </c>
      <c r="I58" s="1">
        <v>1</v>
      </c>
      <c r="J58" s="135" t="s">
        <v>35</v>
      </c>
      <c r="K58" s="156">
        <v>45505343</v>
      </c>
      <c r="L58" s="156">
        <v>44235446</v>
      </c>
      <c r="M58" s="155">
        <f t="shared" si="11"/>
        <v>0.97209345285014115</v>
      </c>
      <c r="N58" s="156">
        <f t="shared" si="16"/>
        <v>1269897</v>
      </c>
      <c r="O58" s="156">
        <v>45971504</v>
      </c>
      <c r="P58" s="156">
        <v>44409312.299999997</v>
      </c>
      <c r="Q58" s="155">
        <f t="shared" si="12"/>
        <v>0.96601825992031931</v>
      </c>
      <c r="R58" s="156">
        <f t="shared" si="17"/>
        <v>1562191.700000003</v>
      </c>
      <c r="S58" s="156">
        <f>'FY 2009 Exp 01-06-10'!C12</f>
        <v>44763416</v>
      </c>
      <c r="T58" s="156">
        <v>43699153.5</v>
      </c>
      <c r="U58" s="155">
        <f t="shared" si="18"/>
        <v>0.97622472556607387</v>
      </c>
      <c r="V58" s="156">
        <f>'FY 2009 Exp 01-06-10'!D12</f>
        <v>45148643</v>
      </c>
      <c r="W58" s="155">
        <f t="shared" si="19"/>
        <v>0.96789517018263427</v>
      </c>
      <c r="X58" s="13">
        <f t="shared" si="20"/>
        <v>1064262.5</v>
      </c>
      <c r="Y58" s="156">
        <f>'FY 2008 Exp 01-06-10'!C12</f>
        <v>44214975</v>
      </c>
      <c r="Z58" s="156">
        <v>43971445.670000002</v>
      </c>
      <c r="AA58" s="155">
        <f t="shared" si="21"/>
        <v>0.99449215271522828</v>
      </c>
      <c r="AB58" s="156">
        <f>'FY 2008 Exp 01-06-10'!D12</f>
        <v>44791732</v>
      </c>
      <c r="AC58" s="155">
        <f t="shared" si="22"/>
        <v>0.98168665748401962</v>
      </c>
      <c r="AD58" s="13">
        <f t="shared" si="23"/>
        <v>243529.32999999821</v>
      </c>
    </row>
    <row r="59" spans="1:30" ht="15.75" customHeight="1" thickBot="1">
      <c r="A59" s="218" t="s">
        <v>36</v>
      </c>
      <c r="B59" s="219"/>
      <c r="C59" s="22">
        <f t="shared" si="13"/>
        <v>9355000</v>
      </c>
      <c r="D59" s="22">
        <f t="shared" si="13"/>
        <v>9430590</v>
      </c>
      <c r="E59" s="12">
        <f t="shared" si="9"/>
        <v>1.0080801710315339</v>
      </c>
      <c r="F59" s="22">
        <f t="shared" si="14"/>
        <v>-75590</v>
      </c>
      <c r="G59" s="23">
        <f t="shared" si="15"/>
        <v>9355000</v>
      </c>
      <c r="H59" s="25">
        <v>0</v>
      </c>
      <c r="I59" s="1">
        <v>1</v>
      </c>
      <c r="J59" s="135" t="s">
        <v>36</v>
      </c>
      <c r="K59" s="158">
        <v>9355000</v>
      </c>
      <c r="L59" s="158">
        <v>9430590</v>
      </c>
      <c r="M59" s="152">
        <f t="shared" si="11"/>
        <v>1.0080801710315339</v>
      </c>
      <c r="N59" s="158">
        <f t="shared" si="16"/>
        <v>-75590</v>
      </c>
      <c r="O59" s="158">
        <v>8370000</v>
      </c>
      <c r="P59" s="158">
        <v>8420000</v>
      </c>
      <c r="Q59" s="152">
        <f t="shared" si="12"/>
        <v>1.005973715651135</v>
      </c>
      <c r="R59" s="158">
        <f t="shared" si="17"/>
        <v>-50000</v>
      </c>
      <c r="S59" s="158">
        <f>'FY 2009 Exp 01-06-10'!C14</f>
        <v>8707782</v>
      </c>
      <c r="T59" s="158">
        <v>9421491</v>
      </c>
      <c r="U59" s="152">
        <f t="shared" si="18"/>
        <v>1.0819622034635226</v>
      </c>
      <c r="V59" s="158">
        <f>'FY 2009 Exp 01-06-10'!D14</f>
        <v>13464262</v>
      </c>
      <c r="W59" s="152">
        <f t="shared" si="19"/>
        <v>0.69974061704978707</v>
      </c>
      <c r="X59" s="159">
        <f t="shared" si="20"/>
        <v>-713709</v>
      </c>
      <c r="Y59" s="158">
        <f>'FY 2008 Exp 01-06-10'!C14</f>
        <v>9046853</v>
      </c>
      <c r="Z59" s="158">
        <v>18086390</v>
      </c>
      <c r="AA59" s="152">
        <f t="shared" si="21"/>
        <v>1.9991913210041106</v>
      </c>
      <c r="AB59" s="158">
        <f>'FY 2008 Exp 01-06-10'!D14</f>
        <v>19089565</v>
      </c>
      <c r="AC59" s="152">
        <f t="shared" si="22"/>
        <v>0.94744903825728877</v>
      </c>
      <c r="AD59" s="159">
        <f t="shared" si="23"/>
        <v>-9039537</v>
      </c>
    </row>
    <row r="60" spans="1:30" ht="15.75" customHeight="1" thickBot="1">
      <c r="A60" s="220" t="s">
        <v>28</v>
      </c>
      <c r="B60" s="221"/>
      <c r="C60" s="20">
        <f>SUM(C49:C59)</f>
        <v>153678623</v>
      </c>
      <c r="D60" s="20">
        <f>SUM(D49:D59)</f>
        <v>174641730</v>
      </c>
      <c r="E60" s="12">
        <f t="shared" si="9"/>
        <v>1.1364087378633005</v>
      </c>
      <c r="F60" s="13">
        <f t="shared" si="14"/>
        <v>-20963107</v>
      </c>
      <c r="G60" s="23">
        <f t="shared" si="15"/>
        <v>153678623</v>
      </c>
      <c r="J60" s="107"/>
      <c r="K60" s="157">
        <f>SUM(K49:K59)</f>
        <v>153678623</v>
      </c>
      <c r="L60" s="157">
        <f>SUM(L49:L59)</f>
        <v>174641730</v>
      </c>
      <c r="M60" s="153">
        <f t="shared" si="11"/>
        <v>1.1364087378633005</v>
      </c>
      <c r="N60" s="157">
        <f>SUM(N49:N59)</f>
        <v>-20963107</v>
      </c>
      <c r="O60" s="157">
        <f>SUM(O49:O59)</f>
        <v>152858941</v>
      </c>
      <c r="P60" s="157">
        <f>SUM(P49:P59)</f>
        <v>138804409.34</v>
      </c>
      <c r="Q60" s="153">
        <f t="shared" si="12"/>
        <v>0.90805554736899563</v>
      </c>
      <c r="R60" s="157">
        <f>SUM(R49:R59)</f>
        <v>14054531.660000004</v>
      </c>
      <c r="S60" s="157">
        <f t="shared" ref="S60:AD60" si="24">SUM(S49:S59)</f>
        <v>150486607</v>
      </c>
      <c r="T60" s="157">
        <f t="shared" si="24"/>
        <v>133845225.48</v>
      </c>
      <c r="U60" s="153">
        <f t="shared" si="18"/>
        <v>0.88941619555552875</v>
      </c>
      <c r="V60" s="157">
        <f t="shared" si="24"/>
        <v>154788048</v>
      </c>
      <c r="W60" s="153">
        <f t="shared" si="19"/>
        <v>0.86470000241879141</v>
      </c>
      <c r="X60" s="157">
        <f t="shared" si="24"/>
        <v>16641381.52</v>
      </c>
      <c r="Y60" s="157">
        <f t="shared" si="24"/>
        <v>145532969</v>
      </c>
      <c r="Z60" s="157">
        <f t="shared" si="24"/>
        <v>142340265.55000001</v>
      </c>
      <c r="AA60" s="153">
        <f t="shared" si="21"/>
        <v>0.97806199191882093</v>
      </c>
      <c r="AB60" s="157">
        <f t="shared" si="24"/>
        <v>155602576</v>
      </c>
      <c r="AC60" s="153">
        <f t="shared" si="22"/>
        <v>0.91476805339006739</v>
      </c>
      <c r="AD60" s="157">
        <f t="shared" si="24"/>
        <v>3192703.4499999937</v>
      </c>
    </row>
    <row r="61" spans="1:30" ht="15.75" customHeight="1" thickTop="1">
      <c r="A61" s="168"/>
      <c r="B61" s="222" t="s">
        <v>181</v>
      </c>
      <c r="C61" s="222"/>
      <c r="D61" s="222"/>
      <c r="E61" s="222"/>
      <c r="F61" s="222"/>
      <c r="G61" s="14"/>
      <c r="J61" s="107"/>
      <c r="K61" s="24"/>
      <c r="L61" s="24"/>
      <c r="M61" s="170"/>
      <c r="N61" s="24"/>
      <c r="O61" s="24"/>
      <c r="P61" s="24"/>
      <c r="Q61" s="170"/>
      <c r="R61" s="24"/>
      <c r="S61" s="24"/>
      <c r="T61" s="24"/>
      <c r="U61" s="170"/>
      <c r="V61" s="24"/>
      <c r="W61" s="170"/>
      <c r="X61" s="24"/>
      <c r="Y61" s="24"/>
      <c r="Z61" s="24"/>
      <c r="AA61" s="170"/>
      <c r="AB61" s="24"/>
      <c r="AC61" s="170"/>
      <c r="AD61" s="24"/>
    </row>
    <row r="62" spans="1:30" ht="15.75" customHeight="1">
      <c r="A62" s="168"/>
      <c r="B62" s="168"/>
      <c r="C62" s="169"/>
      <c r="D62" s="169"/>
      <c r="E62" s="170"/>
      <c r="F62" s="23"/>
      <c r="G62" s="14"/>
      <c r="J62" s="107"/>
      <c r="K62" s="24"/>
      <c r="L62" s="24"/>
      <c r="M62" s="170"/>
      <c r="N62" s="24"/>
      <c r="O62" s="24"/>
      <c r="P62" s="24"/>
      <c r="Q62" s="170"/>
      <c r="R62" s="24"/>
      <c r="S62" s="24"/>
      <c r="T62" s="24"/>
      <c r="U62" s="170"/>
      <c r="V62" s="24"/>
      <c r="W62" s="170"/>
      <c r="X62" s="24"/>
      <c r="Y62" s="24"/>
      <c r="Z62" s="24"/>
      <c r="AA62" s="170"/>
      <c r="AB62" s="24"/>
      <c r="AC62" s="170"/>
      <c r="AD62" s="24"/>
    </row>
    <row r="90" ht="15.75" customHeight="1"/>
  </sheetData>
  <mergeCells count="27">
    <mergeCell ref="A18:B18"/>
    <mergeCell ref="B3:D3"/>
    <mergeCell ref="A13:F13"/>
    <mergeCell ref="A14:F14"/>
    <mergeCell ref="A16:B16"/>
    <mergeCell ref="A17:B17"/>
    <mergeCell ref="A52:B52"/>
    <mergeCell ref="A19:B19"/>
    <mergeCell ref="A20:B20"/>
    <mergeCell ref="A21:B21"/>
    <mergeCell ref="A22:B22"/>
    <mergeCell ref="A23:B23"/>
    <mergeCell ref="A24:B24"/>
    <mergeCell ref="A46:F46"/>
    <mergeCell ref="A48:B48"/>
    <mergeCell ref="A49:B49"/>
    <mergeCell ref="A50:B50"/>
    <mergeCell ref="A51:B51"/>
    <mergeCell ref="B61:F61"/>
    <mergeCell ref="A59:B59"/>
    <mergeCell ref="A60:B60"/>
    <mergeCell ref="A53:B53"/>
    <mergeCell ref="A54:B54"/>
    <mergeCell ref="A55:B55"/>
    <mergeCell ref="A56:B56"/>
    <mergeCell ref="A57:B57"/>
    <mergeCell ref="A58:B5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af7b773-99b2-46a9-bf9c-7d40a6c582ad">High Level Reports</Category>
    <Year xmlns="faf7b773-99b2-46a9-bf9c-7d40a6c582ad">2013</Ye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D279BEC65C44EBCAF757B879113B5" ma:contentTypeVersion="7" ma:contentTypeDescription="Create a new document." ma:contentTypeScope="" ma:versionID="2c36df9ee20cf05646d8106cfb782d5d">
  <xsd:schema xmlns:xsd="http://www.w3.org/2001/XMLSchema" xmlns:xs="http://www.w3.org/2001/XMLSchema" xmlns:p="http://schemas.microsoft.com/office/2006/metadata/properties" xmlns:ns2="faf7b773-99b2-46a9-bf9c-7d40a6c582ad" targetNamespace="http://schemas.microsoft.com/office/2006/metadata/properties" ma:root="true" ma:fieldsID="6eae7e37e1f09dda9e1e9606ac14f203" ns2:_="">
    <xsd:import namespace="faf7b773-99b2-46a9-bf9c-7d40a6c582ad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7b773-99b2-46a9-bf9c-7d40a6c582ad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4"/>
        </xsd:restriction>
      </xsd:simpleType>
    </xsd:element>
    <xsd:element name="Category" ma:index="9" nillable="true" ma:displayName="Category" ma:format="Dropdown" ma:internalName="Category">
      <xsd:simpleType>
        <xsd:restriction base="dms:Choice">
          <xsd:enumeration value="Culture and Recreation"/>
          <xsd:enumeration value="Equipment Services"/>
          <xsd:enumeration value="Financial Administration"/>
          <xsd:enumeration value="General Administration"/>
          <xsd:enumeration value="Health and Welfare"/>
          <xsd:enumeration value="High Level Reports"/>
          <xsd:enumeration value="Judicial"/>
          <xsd:enumeration value="Legal"/>
          <xsd:enumeration value="Public Facilities"/>
          <xsd:enumeration value="Public Safety"/>
          <xsd:enumeration value="Public Transport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5F7F2-2CC3-4305-9729-7792EE845CDF}"/>
</file>

<file path=customXml/itemProps2.xml><?xml version="1.0" encoding="utf-8"?>
<ds:datastoreItem xmlns:ds="http://schemas.openxmlformats.org/officeDocument/2006/customXml" ds:itemID="{ABCF26EF-7661-4490-8D00-9DABD157C77A}"/>
</file>

<file path=customXml/itemProps3.xml><?xml version="1.0" encoding="utf-8"?>
<ds:datastoreItem xmlns:ds="http://schemas.openxmlformats.org/officeDocument/2006/customXml" ds:itemID="{238DC7C6-A458-46F6-816A-FF56A5930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22</vt:i4>
      </vt:variant>
    </vt:vector>
  </HeadingPairs>
  <TitlesOfParts>
    <vt:vector size="51" baseType="lpstr">
      <vt:lpstr>2013 Q4 GF</vt:lpstr>
      <vt:lpstr>2013 Q3 GF</vt:lpstr>
      <vt:lpstr>2013 Q2 GF</vt:lpstr>
      <vt:lpstr>2013 Q1 GF</vt:lpstr>
      <vt:lpstr>2012 Q4 GF</vt:lpstr>
      <vt:lpstr>2012 Q3 GF</vt:lpstr>
      <vt:lpstr>2012 Q2 GF</vt:lpstr>
      <vt:lpstr>2012 Q1 GF</vt:lpstr>
      <vt:lpstr>2011 Q4 GF</vt:lpstr>
      <vt:lpstr>2011 Q3 GF</vt:lpstr>
      <vt:lpstr>2011 Q2 GF</vt:lpstr>
      <vt:lpstr>2011 Q1 GF</vt:lpstr>
      <vt:lpstr>2010 Q4 GF</vt:lpstr>
      <vt:lpstr>2010 Q3 GF</vt:lpstr>
      <vt:lpstr>2010 Q2 GF</vt:lpstr>
      <vt:lpstr>FY2010 Rev as of 10-13-10</vt:lpstr>
      <vt:lpstr>FY2010 Exp as of 10-13-10 </vt:lpstr>
      <vt:lpstr>FY2010 Rev as of 07-13-10</vt:lpstr>
      <vt:lpstr>FY2010 Exp as of 07-13-10</vt:lpstr>
      <vt:lpstr>FY2010 Rev as of 04-05-10</vt:lpstr>
      <vt:lpstr>FY2010 Exp as of 04-05-10</vt:lpstr>
      <vt:lpstr>FY 2010 Rev as of 01-04-10</vt:lpstr>
      <vt:lpstr>FY 2010 Exp as of 01-06-10</vt:lpstr>
      <vt:lpstr>FY 2009 Rev 01-04-10</vt:lpstr>
      <vt:lpstr>FY 2009 Exp 01-06-10</vt:lpstr>
      <vt:lpstr>FY 2008 Rev 01-04-10</vt:lpstr>
      <vt:lpstr>FY 2008 Exp 01-06-10</vt:lpstr>
      <vt:lpstr>FY2010 Exp as of 01-14-11</vt:lpstr>
      <vt:lpstr>FY2010 Rev as of 01-14-11</vt:lpstr>
      <vt:lpstr>'2010 Q2 GF'!Print_Area</vt:lpstr>
      <vt:lpstr>'2010 Q3 GF'!Print_Area</vt:lpstr>
      <vt:lpstr>'2010 Q4 GF'!Print_Area</vt:lpstr>
      <vt:lpstr>'2011 Q1 GF'!Print_Area</vt:lpstr>
      <vt:lpstr>'2011 Q2 GF'!Print_Area</vt:lpstr>
      <vt:lpstr>'2011 Q3 GF'!Print_Area</vt:lpstr>
      <vt:lpstr>'2011 Q4 GF'!Print_Area</vt:lpstr>
      <vt:lpstr>'2012 Q1 GF'!Print_Area</vt:lpstr>
      <vt:lpstr>'2012 Q2 GF'!Print_Area</vt:lpstr>
      <vt:lpstr>'2012 Q3 GF'!Print_Area</vt:lpstr>
      <vt:lpstr>'2012 Q4 GF'!Print_Area</vt:lpstr>
      <vt:lpstr>'2013 Q1 GF'!Print_Area</vt:lpstr>
      <vt:lpstr>'2013 Q2 GF'!Print_Area</vt:lpstr>
      <vt:lpstr>'2013 Q3 GF'!Print_Area</vt:lpstr>
      <vt:lpstr>'2013 Q4 GF'!Print_Area</vt:lpstr>
      <vt:lpstr>'FY 2010 Rev as of 01-04-10'!Print_Area</vt:lpstr>
      <vt:lpstr>'FY 2008 Exp 01-06-10'!Print_Titles</vt:lpstr>
      <vt:lpstr>'FY 2008 Rev 01-04-10'!Print_Titles</vt:lpstr>
      <vt:lpstr>'FY 2009 Exp 01-06-10'!Print_Titles</vt:lpstr>
      <vt:lpstr>'FY 2009 Rev 01-04-10'!Print_Titles</vt:lpstr>
      <vt:lpstr>'FY 2010 Exp as of 01-06-10'!Print_Titles</vt:lpstr>
      <vt:lpstr>'FY 2010 Rev as of 01-04-10'!Print_Titles</vt:lpstr>
    </vt:vector>
  </TitlesOfParts>
  <Company>collin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FY2013 4th quarter High Level Reports General Fund Quarterly Report 2013</dc:title>
  <dc:creator>Monika Arris</dc:creator>
  <cp:lastModifiedBy>Teresa Moore</cp:lastModifiedBy>
  <cp:lastPrinted>2013-10-07T19:33:31Z</cp:lastPrinted>
  <dcterms:created xsi:type="dcterms:W3CDTF">2005-12-07T16:53:29Z</dcterms:created>
  <dcterms:modified xsi:type="dcterms:W3CDTF">2013-10-07T19:33:48Z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487155397</vt:i4>
  </property>
  <property fmtid="{D5CDD505-2E9C-101B-9397-08002B2CF9AE}" pid="3" name="_NewReviewCycle">
    <vt:lpwstr/>
  </property>
  <property fmtid="{D5CDD505-2E9C-101B-9397-08002B2CF9AE}" pid="4" name="_EmailSubject">
    <vt:lpwstr>General Fund Quarterly Report 2007.xls</vt:lpwstr>
  </property>
  <property fmtid="{D5CDD505-2E9C-101B-9397-08002B2CF9AE}" pid="5" name="_AuthorEmail">
    <vt:lpwstr>marris@co.collin.tx.us</vt:lpwstr>
  </property>
  <property fmtid="{D5CDD505-2E9C-101B-9397-08002B2CF9AE}" pid="6" name="_AuthorEmailDisplayName">
    <vt:lpwstr>Monika Arris</vt:lpwstr>
  </property>
  <property fmtid="{D5CDD505-2E9C-101B-9397-08002B2CF9AE}" pid="7" name="_ReviewingToolsShownOnce">
    <vt:lpwstr/>
  </property>
  <property fmtid="{D5CDD505-2E9C-101B-9397-08002B2CF9AE}" pid="8" name="ContentTypeId">
    <vt:lpwstr>0x0101005F8D279BEC65C44EBCAF757B879113B5</vt:lpwstr>
  </property>
</Properties>
</file>