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drawings/drawing13.xml" ContentType="application/vnd.openxmlformats-officedocument.drawing+xml"/>
  <Override PartName="/xl/charts/chart96.xml" ContentType="application/vnd.openxmlformats-officedocument.drawingml.chart+xml"/>
  <Override PartName="/xl/charts/chart95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drawings/drawing15.xml" ContentType="application/vnd.openxmlformats-officedocument.drawing+xml"/>
  <Override PartName="/xl/charts/chart113.xml" ContentType="application/vnd.openxmlformats-officedocument.drawingml.chart+xml"/>
  <Override PartName="/xl/charts/chart109.xml" ContentType="application/vnd.openxmlformats-officedocument.drawingml.chart+xml"/>
  <Override PartName="/xl/charts/chart108.xml" ContentType="application/vnd.openxmlformats-officedocument.drawingml.chart+xml"/>
  <Override PartName="/xl/charts/chart107.xml" ContentType="application/vnd.openxmlformats-officedocument.drawingml.chart+xml"/>
  <Override PartName="/xl/drawings/drawing14.xml" ContentType="application/vnd.openxmlformats-officedocument.drawing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89.xml" ContentType="application/vnd.openxmlformats-officedocument.drawingml.chart+xml"/>
  <Override PartName="/xl/drawings/drawing12.xml" ContentType="application/vnd.openxmlformats-officedocument.drawing+xml"/>
  <Override PartName="/xl/charts/chart88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0.xml" ContentType="application/vnd.openxmlformats-officedocument.drawing+xml"/>
  <Override PartName="/xl/charts/chart73.xml" ContentType="application/vnd.openxmlformats-officedocument.drawingml.chart+xml"/>
  <Override PartName="/xl/charts/chart69.xml" ContentType="application/vnd.openxmlformats-officedocument.drawingml.chart+xml"/>
  <Override PartName="/xl/charts/chart68.xml" ContentType="application/vnd.openxmlformats-officedocument.drawingml.chart+xml"/>
  <Override PartName="/xl/worksheets/sheet1.xml" ContentType="application/vnd.openxmlformats-officedocument.spreadsheetml.worksheet+xml"/>
  <Override PartName="/xl/charts/chart64.xml" ContentType="application/vnd.openxmlformats-officedocument.drawingml.chart+xml"/>
  <Override PartName="/xl/drawings/drawing9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2.xml" ContentType="application/vnd.openxmlformats-officedocument.drawingml.chart+xml"/>
  <Override PartName="/xl/charts/chart81.xml" ContentType="application/vnd.openxmlformats-officedocument.drawingml.chart+xml"/>
  <Override PartName="/xl/drawings/drawing11.xml" ContentType="application/vnd.openxmlformats-officedocument.drawing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63.xml" ContentType="application/vnd.openxmlformats-officedocument.drawingml.chart+xml"/>
  <Override PartName="/xl/charts/chart67.xml" ContentType="application/vnd.openxmlformats-officedocument.drawingml.chart+xml"/>
  <Override PartName="/xl/charts/chart61.xml" ContentType="application/vnd.openxmlformats-officedocument.drawingml.chart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theme/themeOverride5.xml" ContentType="application/vnd.openxmlformats-officedocument.themeOverride+xml"/>
  <Override PartName="/xl/charts/chart10.xml" ContentType="application/vnd.openxmlformats-officedocument.drawingml.chart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charts/chart7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62.xml" ContentType="application/vnd.openxmlformats-officedocument.drawingml.chart+xml"/>
  <Override PartName="/xl/theme/themeOverride9.xml" ContentType="application/vnd.openxmlformats-officedocument.themeOverride+xml"/>
  <Override PartName="/xl/charts/chart18.xml" ContentType="application/vnd.openxmlformats-officedocument.drawingml.chart+xml"/>
  <Override PartName="/xl/theme/themeOverride10.xml" ContentType="application/vnd.openxmlformats-officedocument.themeOverride+xml"/>
  <Override PartName="/xl/charts/chart19.xml" ContentType="application/vnd.openxmlformats-officedocument.drawingml.chart+xml"/>
  <Override PartName="/xl/drawings/drawing3.xml" ContentType="application/vnd.openxmlformats-officedocument.drawing+xml"/>
  <Override PartName="/xl/theme/themeOverride8.xml" ContentType="application/vnd.openxmlformats-officedocument.themeOverride+xml"/>
  <Override PartName="/xl/charts/chart16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theme/themeOverride7.xml" ContentType="application/vnd.openxmlformats-officedocument.themeOverride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1.xml" ContentType="application/vnd.openxmlformats-officedocument.drawingml.char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charts/chart20.xml" ContentType="application/vnd.openxmlformats-officedocument.drawingml.chart+xml"/>
  <Override PartName="/xl/charts/chart17.xml" ContentType="application/vnd.openxmlformats-officedocument.drawingml.chart+xml"/>
  <Override PartName="/xl/charts/chart60.xml" ContentType="application/vnd.openxmlformats-officedocument.drawingml.chart+xml"/>
  <Override PartName="/xl/charts/chart40.xml" ContentType="application/vnd.openxmlformats-officedocument.drawingml.chart+xml"/>
  <Override PartName="/xl/drawings/drawing6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39.xml" ContentType="application/vnd.openxmlformats-officedocument.drawingml.chart+xml"/>
  <Override PartName="/xl/charts/chart38.xml" ContentType="application/vnd.openxmlformats-officedocument.drawingml.chart+xml"/>
  <Override PartName="/xl/charts/chart37.xml" ContentType="application/vnd.openxmlformats-officedocument.drawingml.chart+xml"/>
  <Override PartName="/xl/drawings/drawing5.xml" ContentType="application/vnd.openxmlformats-officedocument.drawing+xml"/>
  <Override PartName="/xl/charts/chart33.xml" ContentType="application/vnd.openxmlformats-officedocument.drawingml.chart+xml"/>
  <Override PartName="/xl/charts/chart21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8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54.xml" ContentType="application/vnd.openxmlformats-officedocument.drawingml.chart+xml"/>
  <Override PartName="/xl/charts/chart53.xml" ContentType="application/vnd.openxmlformats-officedocument.drawingml.chart+xml"/>
  <Override PartName="/xl/charts/chart52.xml" ContentType="application/vnd.openxmlformats-officedocument.drawingml.chart+xml"/>
  <Override PartName="/xl/charts/chart48.xml" ContentType="application/vnd.openxmlformats-officedocument.drawingml.chart+xml"/>
  <Override PartName="/xl/drawings/drawing7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theme/themeOverride16.xml" ContentType="application/vnd.openxmlformats-officedocument.themeOverride+xml"/>
  <Override PartName="/xl/charts/chart34.xml" ContentType="application/vnd.openxmlformats-officedocument.drawingml.chart+xml"/>
  <Override PartName="/xl/theme/themeOverride12.xml" ContentType="application/vnd.openxmlformats-officedocument.themeOverride+xml"/>
  <Override PartName="/xl/theme/themeOverride14.xml" ContentType="application/vnd.openxmlformats-officedocument.themeOverride+xml"/>
  <Override PartName="/xl/charts/chart22.xml" ContentType="application/vnd.openxmlformats-officedocument.drawingml.chart+xml"/>
  <Override PartName="/xl/charts/chart26.xml" ContentType="application/vnd.openxmlformats-officedocument.drawingml.chart+xml"/>
  <Override PartName="/xl/charts/chart23.xml" ContentType="application/vnd.openxmlformats-officedocument.drawingml.chart+xml"/>
  <Override PartName="/xl/theme/themeOverride11.xml" ContentType="application/vnd.openxmlformats-officedocument.themeOverride+xml"/>
  <Override PartName="/xl/theme/themeOverride13.xml" ContentType="application/vnd.openxmlformats-officedocument.themeOverride+xml"/>
  <Override PartName="/xl/charts/chart24.xml" ContentType="application/vnd.openxmlformats-officedocument.drawingml.chart+xml"/>
  <Override PartName="/xl/drawings/drawing4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5.xml" ContentType="application/vnd.openxmlformats-officedocument.drawingml.chart+xml"/>
  <Override PartName="/xl/charts/chart32.xml" ContentType="application/vnd.openxmlformats-officedocument.drawingml.chart+xml"/>
  <Override PartName="/xl/theme/themeOverride15.xml" ContentType="application/vnd.openxmlformats-officedocument.themeOverride+xml"/>
  <Override PartName="/xl/charts/chart31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240" yWindow="75" windowWidth="10380" windowHeight="6300" tabRatio="936"/>
  </bookViews>
  <sheets>
    <sheet name="2013 Q4 Rd &amp; Bridge)" sheetId="48082" r:id="rId1"/>
    <sheet name="2013 Q3 Rd &amp; Bridge" sheetId="48081" r:id="rId2"/>
    <sheet name="2013 Q2 Rd &amp; Bridge " sheetId="48080" r:id="rId3"/>
    <sheet name="2013 Q1 Rd &amp; Bridge " sheetId="48079" r:id="rId4"/>
    <sheet name="2012 Q4 Rd &amp; Bridge" sheetId="48078" r:id="rId5"/>
    <sheet name="2012 Q3 Rd &amp; Bridge" sheetId="48077" r:id="rId6"/>
    <sheet name="2012 Q2 Rd &amp; Bridge " sheetId="48076" r:id="rId7"/>
    <sheet name="2012 Q1 Rd &amp; Bridge" sheetId="48075" r:id="rId8"/>
    <sheet name="2011 Q4 Rd &amp; Bridge" sheetId="48074" r:id="rId9"/>
    <sheet name="2011 Q3 Rd &amp; Bridge" sheetId="48073" r:id="rId10"/>
    <sheet name="2011 Q2 Rd &amp; Bridge" sheetId="48072" r:id="rId11"/>
    <sheet name="2011 Q1 Rd &amp; Bridge" sheetId="48042" r:id="rId12"/>
    <sheet name="2010 Q2 Rd &amp; Bridge" sheetId="48065" r:id="rId13"/>
    <sheet name="2010 Q3 Rd &amp; Bridge" sheetId="48066" r:id="rId14"/>
    <sheet name="2010 Q4 Rd &amp; Bridge " sheetId="48069" r:id="rId15"/>
    <sheet name="FY2010 Exp as of 10-13-10" sheetId="48071" r:id="rId16"/>
    <sheet name="FY2010 Rev as of 10-13-10 " sheetId="48070" r:id="rId17"/>
    <sheet name="FY2010 Rev as of 07-13-10" sheetId="48067" r:id="rId18"/>
    <sheet name="FY2010 Exp as of 07-13-10" sheetId="48068" r:id="rId19"/>
    <sheet name="FY2010 Rev as of 04-06-10" sheetId="48063" r:id="rId20"/>
    <sheet name="FY2010 Exp as of 04-06-10" sheetId="48064" r:id="rId21"/>
    <sheet name="FY 2010 Rev as of 01-15-10" sheetId="48058" r:id="rId22"/>
    <sheet name="FY 2010 Exp as of 01-06-10" sheetId="48059" r:id="rId23"/>
    <sheet name="FY 2009 Rev 01-15-10" sheetId="48057" r:id="rId24"/>
    <sheet name="FY 2009 Exp 01-06-10" sheetId="48061" r:id="rId25"/>
    <sheet name="FY 2008 Rev 01-15-10" sheetId="48060" r:id="rId26"/>
    <sheet name="FY 2008 Exp 01-06-10" sheetId="48062" r:id="rId27"/>
  </sheets>
  <definedNames>
    <definedName name="account" localSheetId="2">#REF!</definedName>
    <definedName name="account" localSheetId="1">#REF!</definedName>
    <definedName name="account" localSheetId="0">#REF!</definedName>
    <definedName name="account">#REF!</definedName>
    <definedName name="budget" localSheetId="2">#REF!</definedName>
    <definedName name="budget" localSheetId="1">#REF!</definedName>
    <definedName name="budget" localSheetId="0">#REF!</definedName>
    <definedName name="budget">#REF!</definedName>
    <definedName name="Fundnames" localSheetId="2">#REF!</definedName>
    <definedName name="Fundnames" localSheetId="1">#REF!</definedName>
    <definedName name="Fundnames" localSheetId="0">#REF!</definedName>
    <definedName name="Fundnames">#REF!</definedName>
    <definedName name="_xlnm.Print_Area" localSheetId="12">'2010 Q2 Rd &amp; Bridge'!$A$1:$F$128</definedName>
    <definedName name="_xlnm.Print_Area" localSheetId="13">'2010 Q3 Rd &amp; Bridge'!$A$1:$F$128</definedName>
    <definedName name="_xlnm.Print_Area" localSheetId="14">'2010 Q4 Rd &amp; Bridge '!$A$1:$F$128</definedName>
    <definedName name="_xlnm.Print_Area" localSheetId="11">'2011 Q1 Rd &amp; Bridge'!$A$1:$F$130</definedName>
    <definedName name="_xlnm.Print_Area" localSheetId="10">'2011 Q2 Rd &amp; Bridge'!$A$1:$F$147</definedName>
    <definedName name="_xlnm.Print_Area" localSheetId="9">'2011 Q3 Rd &amp; Bridge'!$A$1:$F$147</definedName>
    <definedName name="_xlnm.Print_Area" localSheetId="8">'2011 Q4 Rd &amp; Bridge'!$A$1:$F$147</definedName>
    <definedName name="_xlnm.Print_Area" localSheetId="7">'2012 Q1 Rd &amp; Bridge'!$A$1:$F$130</definedName>
    <definedName name="_xlnm.Print_Area" localSheetId="6">'2012 Q2 Rd &amp; Bridge '!$A$1:$F$131</definedName>
    <definedName name="_xlnm.Print_Area" localSheetId="5">'2012 Q3 Rd &amp; Bridge'!$A$1:$F$131</definedName>
    <definedName name="_xlnm.Print_Area" localSheetId="4">'2012 Q4 Rd &amp; Bridge'!$A$1:$F$131</definedName>
    <definedName name="_xlnm.Print_Area" localSheetId="3">'2013 Q1 Rd &amp; Bridge '!$A$1:$F$126</definedName>
    <definedName name="_xlnm.Print_Area" localSheetId="2">'2013 Q2 Rd &amp; Bridge '!$A$1:$F$126</definedName>
    <definedName name="_xlnm.Print_Area" localSheetId="1">'2013 Q3 Rd &amp; Bridge'!$A$1:$F$126</definedName>
    <definedName name="_xlnm.Print_Area" localSheetId="0">'2013 Q4 Rd &amp; Bridge)'!$A$1:$F$126</definedName>
    <definedName name="_xlnm.Print_Area" localSheetId="21">'FY 2010 Rev as of 01-15-10'!$A$1:$D$34</definedName>
    <definedName name="_xlnm.Print_Area">#REF!</definedName>
    <definedName name="_xlnm.Print_Titles" localSheetId="26">'FY 2008 Exp 01-06-10'!$1:$1</definedName>
    <definedName name="_xlnm.Print_Titles" localSheetId="25">'FY 2008 Rev 01-15-10'!$1:$1</definedName>
    <definedName name="_xlnm.Print_Titles" localSheetId="24">'FY 2009 Exp 01-06-10'!$1:$1</definedName>
    <definedName name="_xlnm.Print_Titles" localSheetId="23">'FY 2009 Rev 01-15-10'!$1:$1</definedName>
    <definedName name="_xlnm.Print_Titles" localSheetId="22">'FY 2010 Exp as of 01-06-10'!$1:$1</definedName>
    <definedName name="_xlnm.Print_Titles" localSheetId="21">'FY 2010 Rev as of 01-15-10'!$A:$B,'FY 2010 Rev as of 01-15-10'!$1:$2</definedName>
  </definedNames>
  <calcPr calcId="145621" calcMode="autoNoTable" iterate="1" iterateCount="1" iterateDelta="0"/>
</workbook>
</file>

<file path=xl/calcChain.xml><?xml version="1.0" encoding="utf-8"?>
<calcChain xmlns="http://schemas.openxmlformats.org/spreadsheetml/2006/main">
  <c r="AA51" i="48082" l="1"/>
  <c r="W51" i="48082"/>
  <c r="S51" i="48082"/>
  <c r="O51" i="48082"/>
  <c r="G49" i="48082"/>
  <c r="G48" i="48082"/>
  <c r="L22" i="48082"/>
  <c r="M22" i="48082" s="1"/>
  <c r="L19" i="48082"/>
  <c r="D19" i="48082" s="1"/>
  <c r="E19" i="48082" s="1"/>
  <c r="O23" i="48082"/>
  <c r="R23" i="48082"/>
  <c r="V23" i="48082"/>
  <c r="Z23" i="48082"/>
  <c r="G23" i="48082"/>
  <c r="G22" i="48082"/>
  <c r="G21" i="48082"/>
  <c r="G20" i="48082"/>
  <c r="G19" i="48082"/>
  <c r="G18" i="48082"/>
  <c r="G17" i="48082"/>
  <c r="L51" i="48082"/>
  <c r="M51" i="48082" s="1"/>
  <c r="K51" i="48082"/>
  <c r="D50" i="48082"/>
  <c r="C50" i="48082"/>
  <c r="M49" i="48082"/>
  <c r="J49" i="48082"/>
  <c r="D49" i="48082"/>
  <c r="E49" i="48082" s="1"/>
  <c r="C49" i="48082"/>
  <c r="H49" i="48082" s="1"/>
  <c r="M48" i="48082"/>
  <c r="J48" i="48082"/>
  <c r="D48" i="48082"/>
  <c r="E48" i="48082" s="1"/>
  <c r="C48" i="48082"/>
  <c r="C51" i="48082" s="1"/>
  <c r="G51" i="48082" s="1"/>
  <c r="K23" i="48082"/>
  <c r="J22" i="48082"/>
  <c r="C22" i="48082"/>
  <c r="M21" i="48082"/>
  <c r="J21" i="48082"/>
  <c r="D21" i="48082"/>
  <c r="E21" i="48082" s="1"/>
  <c r="C21" i="48082"/>
  <c r="M20" i="48082"/>
  <c r="J20" i="48082"/>
  <c r="D20" i="48082"/>
  <c r="E20" i="48082" s="1"/>
  <c r="C20" i="48082"/>
  <c r="J19" i="48082"/>
  <c r="C19" i="48082"/>
  <c r="J18" i="48082"/>
  <c r="D18" i="48082"/>
  <c r="C18" i="48082"/>
  <c r="M17" i="48082"/>
  <c r="J17" i="48082"/>
  <c r="D17" i="48082"/>
  <c r="E17" i="48082" s="1"/>
  <c r="C17" i="48082"/>
  <c r="C23" i="48082" s="1"/>
  <c r="F50" i="48082" l="1"/>
  <c r="H50" i="48082"/>
  <c r="G50" i="48082"/>
  <c r="D22" i="48082"/>
  <c r="H21" i="48082"/>
  <c r="M19" i="48082"/>
  <c r="L23" i="48082"/>
  <c r="M23" i="48082" s="1"/>
  <c r="F18" i="48082"/>
  <c r="F51" i="48082"/>
  <c r="F49" i="48082"/>
  <c r="F17" i="48082"/>
  <c r="F19" i="48082"/>
  <c r="F20" i="48082"/>
  <c r="F21" i="48082"/>
  <c r="F48" i="48082"/>
  <c r="D51" i="48082"/>
  <c r="E51" i="48082" s="1"/>
  <c r="L22" i="48081"/>
  <c r="G51" i="48081"/>
  <c r="G50" i="48081"/>
  <c r="G49" i="48081"/>
  <c r="G48" i="48081"/>
  <c r="G18" i="48081"/>
  <c r="G19" i="48081"/>
  <c r="G20" i="48081"/>
  <c r="G21" i="48081"/>
  <c r="G22" i="48081"/>
  <c r="G23" i="48081"/>
  <c r="G17" i="48081"/>
  <c r="L51" i="48081"/>
  <c r="M51" i="48081" s="1"/>
  <c r="K51" i="48081"/>
  <c r="F50" i="48081"/>
  <c r="D50" i="48081"/>
  <c r="C50" i="48081"/>
  <c r="H50" i="48081" s="1"/>
  <c r="M49" i="48081"/>
  <c r="J49" i="48081"/>
  <c r="D49" i="48081"/>
  <c r="E49" i="48081" s="1"/>
  <c r="C49" i="48081"/>
  <c r="H49" i="48081" s="1"/>
  <c r="M48" i="48081"/>
  <c r="J48" i="48081"/>
  <c r="E48" i="48081"/>
  <c r="D48" i="48081"/>
  <c r="C48" i="48081"/>
  <c r="C51" i="48081" s="1"/>
  <c r="K23" i="48081"/>
  <c r="D22" i="48081"/>
  <c r="J22" i="48081"/>
  <c r="C22" i="48081"/>
  <c r="M21" i="48081"/>
  <c r="J21" i="48081"/>
  <c r="D21" i="48081"/>
  <c r="E21" i="48081" s="1"/>
  <c r="C21" i="48081"/>
  <c r="M20" i="48081"/>
  <c r="J20" i="48081"/>
  <c r="E20" i="48081"/>
  <c r="D20" i="48081"/>
  <c r="C20" i="48081"/>
  <c r="H20" i="48081" s="1"/>
  <c r="D19" i="48081"/>
  <c r="J19" i="48081"/>
  <c r="C19" i="48081"/>
  <c r="J18" i="48081"/>
  <c r="D18" i="48081"/>
  <c r="C18" i="48081"/>
  <c r="M17" i="48081"/>
  <c r="J17" i="48081"/>
  <c r="D17" i="48081"/>
  <c r="C17" i="48081"/>
  <c r="C23" i="48081" s="1"/>
  <c r="E22" i="48082" l="1"/>
  <c r="D23" i="48082"/>
  <c r="E23" i="48082" s="1"/>
  <c r="F22" i="48082"/>
  <c r="F23" i="48082"/>
  <c r="D51" i="48081"/>
  <c r="E51" i="48081" s="1"/>
  <c r="D23" i="48081"/>
  <c r="E23" i="48081" s="1"/>
  <c r="H21" i="48081"/>
  <c r="F18" i="48081"/>
  <c r="E19" i="48081"/>
  <c r="F22" i="48081"/>
  <c r="E22" i="48081"/>
  <c r="H19" i="48081"/>
  <c r="L23" i="48081"/>
  <c r="M23" i="48081" s="1"/>
  <c r="F19" i="48081"/>
  <c r="M19" i="48081"/>
  <c r="M22" i="48081"/>
  <c r="F49" i="48081"/>
  <c r="E17" i="48081"/>
  <c r="F20" i="48081"/>
  <c r="F21" i="48081"/>
  <c r="F48" i="48081"/>
  <c r="F17" i="48081"/>
  <c r="G51" i="48080"/>
  <c r="G50" i="48080"/>
  <c r="G49" i="48080"/>
  <c r="G48" i="48080"/>
  <c r="L22" i="48080"/>
  <c r="L19" i="48080"/>
  <c r="G23" i="48080"/>
  <c r="G22" i="48080"/>
  <c r="G21" i="48080"/>
  <c r="G20" i="48080"/>
  <c r="G19" i="48080"/>
  <c r="G18" i="48080"/>
  <c r="G17" i="48080"/>
  <c r="L51" i="48080"/>
  <c r="M51" i="48080" s="1"/>
  <c r="K51" i="48080"/>
  <c r="M50" i="48080"/>
  <c r="D50" i="48080"/>
  <c r="C50" i="48080"/>
  <c r="F50" i="48080" s="1"/>
  <c r="M49" i="48080"/>
  <c r="J49" i="48080"/>
  <c r="D49" i="48080"/>
  <c r="E49" i="48080" s="1"/>
  <c r="C49" i="48080"/>
  <c r="M48" i="48080"/>
  <c r="J48" i="48080"/>
  <c r="D48" i="48080"/>
  <c r="E48" i="48080" s="1"/>
  <c r="C48" i="48080"/>
  <c r="K23" i="48080"/>
  <c r="D22" i="48080"/>
  <c r="J22" i="48080"/>
  <c r="C22" i="48080"/>
  <c r="M21" i="48080"/>
  <c r="J21" i="48080"/>
  <c r="D21" i="48080"/>
  <c r="F21" i="48080" s="1"/>
  <c r="C21" i="48080"/>
  <c r="M20" i="48080"/>
  <c r="J20" i="48080"/>
  <c r="D20" i="48080"/>
  <c r="C20" i="48080"/>
  <c r="L23" i="48080"/>
  <c r="M23" i="48080" s="1"/>
  <c r="J19" i="48080"/>
  <c r="D19" i="48080"/>
  <c r="C19" i="48080"/>
  <c r="J18" i="48080"/>
  <c r="D18" i="48080"/>
  <c r="F18" i="48080" s="1"/>
  <c r="C18" i="48080"/>
  <c r="M17" i="48080"/>
  <c r="J17" i="48080"/>
  <c r="D17" i="48080"/>
  <c r="C17" i="48080"/>
  <c r="C23" i="48080" s="1"/>
  <c r="F51" i="48081" l="1"/>
  <c r="F23" i="48081"/>
  <c r="H49" i="48080"/>
  <c r="H20" i="48080"/>
  <c r="F19" i="48080"/>
  <c r="E22" i="48080"/>
  <c r="F22" i="48080"/>
  <c r="F17" i="48080"/>
  <c r="H19" i="48080"/>
  <c r="F20" i="48080"/>
  <c r="C51" i="48080"/>
  <c r="H17" i="48080"/>
  <c r="D51" i="48080"/>
  <c r="E17" i="48080"/>
  <c r="E20" i="48080"/>
  <c r="D23" i="48080"/>
  <c r="E23" i="48080" s="1"/>
  <c r="F49" i="48080"/>
  <c r="H21" i="48080"/>
  <c r="F48" i="48080"/>
  <c r="H50" i="48080"/>
  <c r="E19" i="48080"/>
  <c r="E21" i="48080"/>
  <c r="M22" i="48080"/>
  <c r="M19" i="48080"/>
  <c r="C18" i="48079"/>
  <c r="F51" i="48080" l="1"/>
  <c r="F23" i="48080"/>
  <c r="E51" i="48080"/>
  <c r="L22" i="48079"/>
  <c r="D50" i="48079"/>
  <c r="D49" i="48079"/>
  <c r="D48" i="48079"/>
  <c r="C50" i="48079"/>
  <c r="C49" i="48079"/>
  <c r="C48" i="48079"/>
  <c r="D22" i="48079" l="1"/>
  <c r="C22" i="48079"/>
  <c r="D21" i="48079"/>
  <c r="C21" i="48079"/>
  <c r="D20" i="48079"/>
  <c r="C20" i="48079"/>
  <c r="C19" i="48079"/>
  <c r="D18" i="48079"/>
  <c r="D17" i="48079"/>
  <c r="C17" i="48079"/>
  <c r="L19" i="48079" l="1"/>
  <c r="D19" i="48079" s="1"/>
  <c r="K23" i="48079" l="1"/>
  <c r="M22" i="48079"/>
  <c r="L23" i="48079"/>
  <c r="M21" i="48079"/>
  <c r="M20" i="48079"/>
  <c r="M19" i="48079"/>
  <c r="M17" i="48079"/>
  <c r="M50" i="48079"/>
  <c r="M49" i="48079"/>
  <c r="M48" i="48079"/>
  <c r="L51" i="48079"/>
  <c r="K51" i="48079"/>
  <c r="W51" i="48079"/>
  <c r="V51" i="48079"/>
  <c r="S51" i="48079"/>
  <c r="R51" i="48079"/>
  <c r="O51" i="48079"/>
  <c r="N51" i="48079"/>
  <c r="AI50" i="48079"/>
  <c r="AG50" i="48079"/>
  <c r="AF50" i="48079"/>
  <c r="AC50" i="48079"/>
  <c r="AA50" i="48079"/>
  <c r="Z50" i="48079"/>
  <c r="Y50" i="48079"/>
  <c r="X50" i="48079"/>
  <c r="U50" i="48079"/>
  <c r="T50" i="48079"/>
  <c r="Q50" i="48079"/>
  <c r="P50" i="48079"/>
  <c r="G50" i="48079"/>
  <c r="F50" i="48079" s="1"/>
  <c r="AI49" i="48079"/>
  <c r="AG49" i="48079"/>
  <c r="AF49" i="48079"/>
  <c r="AC49" i="48079"/>
  <c r="AA49" i="48079"/>
  <c r="Z49" i="48079"/>
  <c r="Y49" i="48079"/>
  <c r="X49" i="48079"/>
  <c r="U49" i="48079"/>
  <c r="T49" i="48079"/>
  <c r="Q49" i="48079"/>
  <c r="P49" i="48079"/>
  <c r="J49" i="48079"/>
  <c r="E49" i="48079"/>
  <c r="G49" i="48079"/>
  <c r="F49" i="48079" s="1"/>
  <c r="AI48" i="48079"/>
  <c r="AG48" i="48079"/>
  <c r="AF48" i="48079"/>
  <c r="AC48" i="48079"/>
  <c r="AA48" i="48079"/>
  <c r="Z48" i="48079"/>
  <c r="Y48" i="48079"/>
  <c r="X48" i="48079"/>
  <c r="U48" i="48079"/>
  <c r="T48" i="48079"/>
  <c r="Q48" i="48079"/>
  <c r="P48" i="48079"/>
  <c r="J48" i="48079"/>
  <c r="D51" i="48079"/>
  <c r="H48" i="48079"/>
  <c r="V23" i="48079"/>
  <c r="U23" i="48079"/>
  <c r="N23" i="48079"/>
  <c r="W22" i="48079"/>
  <c r="X22" i="48079" s="1"/>
  <c r="S22" i="48079"/>
  <c r="T22" i="48079" s="1"/>
  <c r="Q22" i="48079"/>
  <c r="Q23" i="48079" s="1"/>
  <c r="O22" i="48079"/>
  <c r="O23" i="48079" s="1"/>
  <c r="P23" i="48079" s="1"/>
  <c r="J22" i="48079"/>
  <c r="X21" i="48079"/>
  <c r="T21" i="48079"/>
  <c r="P21" i="48079"/>
  <c r="J21" i="48079"/>
  <c r="H21" i="48079"/>
  <c r="X20" i="48079"/>
  <c r="T20" i="48079"/>
  <c r="P20" i="48079"/>
  <c r="J20" i="48079"/>
  <c r="E20" i="48079"/>
  <c r="H20" i="48079"/>
  <c r="X19" i="48079"/>
  <c r="R19" i="48079"/>
  <c r="R23" i="48079" s="1"/>
  <c r="P19" i="48079"/>
  <c r="J19" i="48079"/>
  <c r="E19" i="48079"/>
  <c r="G19" i="48079"/>
  <c r="X18" i="48079"/>
  <c r="T18" i="48079"/>
  <c r="P18" i="48079"/>
  <c r="J18" i="48079"/>
  <c r="G18" i="48079"/>
  <c r="F18" i="48079" s="1"/>
  <c r="X17" i="48079"/>
  <c r="T17" i="48079"/>
  <c r="P17" i="48079"/>
  <c r="J17" i="48079"/>
  <c r="D23" i="48079"/>
  <c r="G17" i="48079"/>
  <c r="U21" i="48078"/>
  <c r="U19" i="48078"/>
  <c r="S23" i="48078"/>
  <c r="O22" i="48078"/>
  <c r="L22" i="48078"/>
  <c r="M22" i="48078"/>
  <c r="L19" i="48078"/>
  <c r="D19" i="48078" s="1"/>
  <c r="AD52" i="48078"/>
  <c r="X52" i="48078"/>
  <c r="T52" i="48078"/>
  <c r="S52" i="48078"/>
  <c r="U52" i="48078" s="1"/>
  <c r="P52" i="48078"/>
  <c r="Q52" i="48078" s="1"/>
  <c r="O52" i="48078"/>
  <c r="L52" i="48078"/>
  <c r="M52" i="48078" s="1"/>
  <c r="K52" i="48078"/>
  <c r="AF51" i="48078"/>
  <c r="AG51" i="48078"/>
  <c r="AC51" i="48078"/>
  <c r="AE51" i="48078" s="1"/>
  <c r="AH51" i="48078"/>
  <c r="Z51" i="48078"/>
  <c r="W51" i="48078"/>
  <c r="Y51" i="48078"/>
  <c r="V51" i="48078"/>
  <c r="U51" i="48078"/>
  <c r="R51" i="48078"/>
  <c r="Q51" i="48078"/>
  <c r="N51" i="48078"/>
  <c r="M51" i="48078"/>
  <c r="J51" i="48078"/>
  <c r="D51" i="48078"/>
  <c r="C51" i="48078"/>
  <c r="G51" i="48078" s="1"/>
  <c r="AG50" i="48078"/>
  <c r="AF50" i="48078"/>
  <c r="AC50" i="48078"/>
  <c r="AE50" i="48078" s="1"/>
  <c r="AH50" i="48078"/>
  <c r="Z50" i="48078"/>
  <c r="AA50" i="48078" s="1"/>
  <c r="W50" i="48078"/>
  <c r="AB50" i="48078"/>
  <c r="V50" i="48078"/>
  <c r="U50" i="48078"/>
  <c r="R50" i="48078"/>
  <c r="Q50" i="48078"/>
  <c r="N50" i="48078"/>
  <c r="M50" i="48078"/>
  <c r="J50" i="48078"/>
  <c r="D50" i="48078"/>
  <c r="C50" i="48078"/>
  <c r="G50" i="48078" s="1"/>
  <c r="AF49" i="48078"/>
  <c r="AF52" i="48078" s="1"/>
  <c r="AC49" i="48078"/>
  <c r="AE49" i="48078" s="1"/>
  <c r="AC52" i="48078"/>
  <c r="Z49" i="48078"/>
  <c r="AA49" i="48078" s="1"/>
  <c r="W49" i="48078"/>
  <c r="Y49" i="48078"/>
  <c r="V49" i="48078"/>
  <c r="V52" i="48078"/>
  <c r="U49" i="48078"/>
  <c r="R49" i="48078"/>
  <c r="R52" i="48078" s="1"/>
  <c r="Q49" i="48078"/>
  <c r="N49" i="48078"/>
  <c r="M49" i="48078"/>
  <c r="J49" i="48078"/>
  <c r="D49" i="48078"/>
  <c r="D52" i="48078"/>
  <c r="C49" i="48078"/>
  <c r="G49" i="48078" s="1"/>
  <c r="W23" i="48078"/>
  <c r="R23" i="48078"/>
  <c r="O23" i="48078"/>
  <c r="K23" i="48078"/>
  <c r="U22" i="48078"/>
  <c r="T22" i="48078"/>
  <c r="T23" i="48078"/>
  <c r="P22" i="48078"/>
  <c r="P23" i="48078"/>
  <c r="N22" i="48078"/>
  <c r="N23" i="48078"/>
  <c r="J22" i="48078"/>
  <c r="D22" i="48078"/>
  <c r="C22" i="48078"/>
  <c r="G22" i="48078" s="1"/>
  <c r="Q21" i="48078"/>
  <c r="M21" i="48078"/>
  <c r="J21" i="48078"/>
  <c r="D21" i="48078"/>
  <c r="C21" i="48078"/>
  <c r="H21" i="48078" s="1"/>
  <c r="U20" i="48078"/>
  <c r="Q20" i="48078"/>
  <c r="M20" i="48078"/>
  <c r="J20" i="48078"/>
  <c r="D20" i="48078"/>
  <c r="C20" i="48078"/>
  <c r="G20" i="48078" s="1"/>
  <c r="Q19" i="48078"/>
  <c r="M19" i="48078"/>
  <c r="L23" i="48078"/>
  <c r="M23" i="48078" s="1"/>
  <c r="J19" i="48078"/>
  <c r="C19" i="48078"/>
  <c r="G19" i="48078" s="1"/>
  <c r="U18" i="48078"/>
  <c r="Q18" i="48078"/>
  <c r="M18" i="48078"/>
  <c r="J18" i="48078"/>
  <c r="D18" i="48078"/>
  <c r="C18" i="48078"/>
  <c r="G18" i="48078" s="1"/>
  <c r="U17" i="48078"/>
  <c r="Q17" i="48078"/>
  <c r="M17" i="48078"/>
  <c r="J17" i="48078"/>
  <c r="D17" i="48078"/>
  <c r="F17" i="48078" s="1"/>
  <c r="C17" i="48078"/>
  <c r="G17" i="48078" s="1"/>
  <c r="L22" i="48077"/>
  <c r="L19" i="48077"/>
  <c r="AD52" i="48077"/>
  <c r="X52" i="48077"/>
  <c r="T52" i="48077"/>
  <c r="U52" i="48077" s="1"/>
  <c r="S52" i="48077"/>
  <c r="P52" i="48077"/>
  <c r="Q52" i="48077" s="1"/>
  <c r="O52" i="48077"/>
  <c r="L52" i="48077"/>
  <c r="M52" i="48077" s="1"/>
  <c r="K52" i="48077"/>
  <c r="AF51" i="48077"/>
  <c r="AC51" i="48077"/>
  <c r="AE51" i="48077" s="1"/>
  <c r="Z51" i="48077"/>
  <c r="AA51" i="48077" s="1"/>
  <c r="W51" i="48077"/>
  <c r="AB51" i="48077" s="1"/>
  <c r="V51" i="48077"/>
  <c r="U51" i="48077"/>
  <c r="R51" i="48077"/>
  <c r="Q51" i="48077"/>
  <c r="N51" i="48077"/>
  <c r="M51" i="48077"/>
  <c r="J51" i="48077"/>
  <c r="D51" i="48077"/>
  <c r="C51" i="48077"/>
  <c r="G51" i="48077" s="1"/>
  <c r="F51" i="48077" s="1"/>
  <c r="H51" i="48077"/>
  <c r="AF50" i="48077"/>
  <c r="AG50" i="48077"/>
  <c r="AC50" i="48077"/>
  <c r="AE50" i="48077"/>
  <c r="Z50" i="48077"/>
  <c r="AA50" i="48077"/>
  <c r="W50" i="48077"/>
  <c r="Y50" i="48077" s="1"/>
  <c r="V50" i="48077"/>
  <c r="U50" i="48077"/>
  <c r="R50" i="48077"/>
  <c r="Q50" i="48077"/>
  <c r="N50" i="48077"/>
  <c r="M50" i="48077"/>
  <c r="J50" i="48077"/>
  <c r="D50" i="48077"/>
  <c r="E50" i="48077" s="1"/>
  <c r="C50" i="48077"/>
  <c r="G50" i="48077" s="1"/>
  <c r="H50" i="48077"/>
  <c r="AF49" i="48077"/>
  <c r="AF52" i="48077" s="1"/>
  <c r="AC49" i="48077"/>
  <c r="AH49" i="48077"/>
  <c r="Z49" i="48077"/>
  <c r="Z52" i="48077"/>
  <c r="AA52" i="48077" s="1"/>
  <c r="W49" i="48077"/>
  <c r="Y49" i="48077" s="1"/>
  <c r="V49" i="48077"/>
  <c r="V52" i="48077" s="1"/>
  <c r="U49" i="48077"/>
  <c r="R49" i="48077"/>
  <c r="Q49" i="48077"/>
  <c r="N49" i="48077"/>
  <c r="N52" i="48077"/>
  <c r="M49" i="48077"/>
  <c r="J49" i="48077"/>
  <c r="D49" i="48077"/>
  <c r="E49" i="48077"/>
  <c r="C49" i="48077"/>
  <c r="G49" i="48077" s="1"/>
  <c r="C52" i="48077"/>
  <c r="G52" i="48077" s="1"/>
  <c r="W23" i="48077"/>
  <c r="T23" i="48077"/>
  <c r="U23" i="48077" s="1"/>
  <c r="S23" i="48077"/>
  <c r="R23" i="48077"/>
  <c r="O23" i="48077"/>
  <c r="K23" i="48077"/>
  <c r="U22" i="48077"/>
  <c r="T22" i="48077"/>
  <c r="P22" i="48077"/>
  <c r="P23" i="48077" s="1"/>
  <c r="N22" i="48077"/>
  <c r="N23" i="48077" s="1"/>
  <c r="M22" i="48077"/>
  <c r="J22" i="48077"/>
  <c r="D22" i="48077"/>
  <c r="C22" i="48077"/>
  <c r="G22" i="48077" s="1"/>
  <c r="U21" i="48077"/>
  <c r="Q21" i="48077"/>
  <c r="M21" i="48077"/>
  <c r="J21" i="48077"/>
  <c r="D21" i="48077"/>
  <c r="H21" i="48077"/>
  <c r="C21" i="48077"/>
  <c r="G21" i="48077" s="1"/>
  <c r="U20" i="48077"/>
  <c r="Q20" i="48077"/>
  <c r="M20" i="48077"/>
  <c r="J20" i="48077"/>
  <c r="D20" i="48077"/>
  <c r="E20" i="48077" s="1"/>
  <c r="C20" i="48077"/>
  <c r="G20" i="48077" s="1"/>
  <c r="U19" i="48077"/>
  <c r="Q19" i="48077"/>
  <c r="D19" i="48077"/>
  <c r="J19" i="48077"/>
  <c r="C19" i="48077"/>
  <c r="G19" i="48077" s="1"/>
  <c r="U18" i="48077"/>
  <c r="Q18" i="48077"/>
  <c r="M18" i="48077"/>
  <c r="J18" i="48077"/>
  <c r="D18" i="48077"/>
  <c r="C18" i="48077"/>
  <c r="G18" i="48077" s="1"/>
  <c r="U17" i="48077"/>
  <c r="Q17" i="48077"/>
  <c r="M17" i="48077"/>
  <c r="J17" i="48077"/>
  <c r="D17" i="48077"/>
  <c r="C17" i="48077"/>
  <c r="G17" i="48077" s="1"/>
  <c r="L22" i="48076"/>
  <c r="Q17" i="48076"/>
  <c r="O19" i="48076"/>
  <c r="L19" i="48076"/>
  <c r="L23" i="48076"/>
  <c r="M23" i="48076" s="1"/>
  <c r="T52" i="48076"/>
  <c r="U52" i="48076" s="1"/>
  <c r="S52" i="48076"/>
  <c r="P52" i="48076"/>
  <c r="Q52" i="48076"/>
  <c r="O52" i="48076"/>
  <c r="L52" i="48076"/>
  <c r="M52" i="48076" s="1"/>
  <c r="K52" i="48076"/>
  <c r="AF51" i="48076"/>
  <c r="AC51" i="48076"/>
  <c r="AH51" i="48076" s="1"/>
  <c r="Z51" i="48076"/>
  <c r="AA51" i="48076" s="1"/>
  <c r="W51" i="48076"/>
  <c r="V51" i="48076"/>
  <c r="U51" i="48076"/>
  <c r="R51" i="48076"/>
  <c r="Q51" i="48076"/>
  <c r="N51" i="48076"/>
  <c r="M51" i="48076"/>
  <c r="J51" i="48076"/>
  <c r="D51" i="48076"/>
  <c r="H51" i="48076"/>
  <c r="C51" i="48076"/>
  <c r="G51" i="48076"/>
  <c r="F51" i="48076" s="1"/>
  <c r="AF50" i="48076"/>
  <c r="AC50" i="48076"/>
  <c r="AE50" i="48076"/>
  <c r="Z50" i="48076"/>
  <c r="AA50" i="48076"/>
  <c r="W50" i="48076"/>
  <c r="V50" i="48076"/>
  <c r="U50" i="48076"/>
  <c r="R50" i="48076"/>
  <c r="Q50" i="48076"/>
  <c r="N50" i="48076"/>
  <c r="M50" i="48076"/>
  <c r="J50" i="48076"/>
  <c r="D50" i="48076"/>
  <c r="C50" i="48076"/>
  <c r="G50" i="48076" s="1"/>
  <c r="AF49" i="48076"/>
  <c r="AF52" i="48076" s="1"/>
  <c r="AD52" i="48076"/>
  <c r="AC49" i="48076"/>
  <c r="Z49" i="48076"/>
  <c r="AA49" i="48076" s="1"/>
  <c r="W49" i="48076"/>
  <c r="AB49" i="48076" s="1"/>
  <c r="V49" i="48076"/>
  <c r="U49" i="48076"/>
  <c r="R49" i="48076"/>
  <c r="R52" i="48076" s="1"/>
  <c r="Q49" i="48076"/>
  <c r="N49" i="48076"/>
  <c r="N52" i="48076" s="1"/>
  <c r="M49" i="48076"/>
  <c r="J49" i="48076"/>
  <c r="D49" i="48076"/>
  <c r="E49" i="48076" s="1"/>
  <c r="C49" i="48076"/>
  <c r="S23" i="48076"/>
  <c r="R23" i="48076"/>
  <c r="K23" i="48076"/>
  <c r="T22" i="48076"/>
  <c r="U22" i="48076" s="1"/>
  <c r="P22" i="48076"/>
  <c r="Q22" i="48076" s="1"/>
  <c r="N22" i="48076"/>
  <c r="N23" i="48076" s="1"/>
  <c r="J22" i="48076"/>
  <c r="C22" i="48076"/>
  <c r="G22" i="48076"/>
  <c r="U21" i="48076"/>
  <c r="Q21" i="48076"/>
  <c r="M21" i="48076"/>
  <c r="J21" i="48076"/>
  <c r="D21" i="48076"/>
  <c r="E21" i="48076"/>
  <c r="C21" i="48076"/>
  <c r="G21" i="48076"/>
  <c r="U20" i="48076"/>
  <c r="Q20" i="48076"/>
  <c r="M20" i="48076"/>
  <c r="J20" i="48076"/>
  <c r="D20" i="48076"/>
  <c r="C20" i="48076"/>
  <c r="G20" i="48076" s="1"/>
  <c r="U19" i="48076"/>
  <c r="M19" i="48076"/>
  <c r="J19" i="48076"/>
  <c r="D19" i="48076"/>
  <c r="E19" i="48076"/>
  <c r="C19" i="48076"/>
  <c r="G19" i="48076" s="1"/>
  <c r="U18" i="48076"/>
  <c r="Q18" i="48076"/>
  <c r="M18" i="48076"/>
  <c r="J18" i="48076"/>
  <c r="D18" i="48076"/>
  <c r="C18" i="48076"/>
  <c r="G18" i="48076"/>
  <c r="W23" i="48076"/>
  <c r="U17" i="48076"/>
  <c r="M17" i="48076"/>
  <c r="J17" i="48076"/>
  <c r="D17" i="48076"/>
  <c r="C17" i="48076"/>
  <c r="G17" i="48076" s="1"/>
  <c r="D50" i="48075"/>
  <c r="H50" i="48075"/>
  <c r="D49" i="48075"/>
  <c r="D48" i="48075"/>
  <c r="C50" i="48075"/>
  <c r="C49" i="48075"/>
  <c r="H49" i="48075" s="1"/>
  <c r="C48" i="48075"/>
  <c r="L51" i="48075"/>
  <c r="K51" i="48075"/>
  <c r="N50" i="48075"/>
  <c r="M50" i="48075"/>
  <c r="N49" i="48075"/>
  <c r="M49" i="48075"/>
  <c r="N48" i="48075"/>
  <c r="N51" i="48075"/>
  <c r="M48" i="48075"/>
  <c r="C22" i="48075"/>
  <c r="D21" i="48075"/>
  <c r="C21" i="48075"/>
  <c r="G21" i="48075" s="1"/>
  <c r="D20" i="48075"/>
  <c r="C20" i="48075"/>
  <c r="G20" i="48075" s="1"/>
  <c r="D19" i="48075"/>
  <c r="C19" i="48075"/>
  <c r="H19" i="48075" s="1"/>
  <c r="D18" i="48075"/>
  <c r="C18" i="48075"/>
  <c r="D17" i="48075"/>
  <c r="E17" i="48075" s="1"/>
  <c r="C17" i="48075"/>
  <c r="L22" i="48075"/>
  <c r="L23" i="48075" s="1"/>
  <c r="M21" i="48075"/>
  <c r="M20" i="48075"/>
  <c r="M19" i="48075"/>
  <c r="M18" i="48075"/>
  <c r="M17" i="48075"/>
  <c r="K23" i="48075"/>
  <c r="U21" i="48075"/>
  <c r="U20" i="48075"/>
  <c r="U19" i="48075"/>
  <c r="U18" i="48075"/>
  <c r="U17" i="48075"/>
  <c r="T22" i="48075"/>
  <c r="Q21" i="48075"/>
  <c r="Q20" i="48075"/>
  <c r="Q18" i="48075"/>
  <c r="Q17" i="48075"/>
  <c r="P22" i="48075"/>
  <c r="Q22" i="48075"/>
  <c r="P23" i="48075"/>
  <c r="T51" i="48075"/>
  <c r="U51" i="48075" s="1"/>
  <c r="S51" i="48075"/>
  <c r="P51" i="48075"/>
  <c r="Q51" i="48075" s="1"/>
  <c r="O51" i="48075"/>
  <c r="AF50" i="48075"/>
  <c r="AD50" i="48075"/>
  <c r="AG50" i="48075"/>
  <c r="AC50" i="48075"/>
  <c r="Z50" i="48075"/>
  <c r="X50" i="48075"/>
  <c r="Y50" i="48075" s="1"/>
  <c r="AB50" i="48075"/>
  <c r="W50" i="48075"/>
  <c r="V50" i="48075"/>
  <c r="U50" i="48075"/>
  <c r="R50" i="48075"/>
  <c r="Q50" i="48075"/>
  <c r="J50" i="48075"/>
  <c r="G50" i="48075"/>
  <c r="AF49" i="48075"/>
  <c r="AD49" i="48075"/>
  <c r="AC49" i="48075"/>
  <c r="Z49" i="48075"/>
  <c r="X49" i="48075"/>
  <c r="AA49" i="48075" s="1"/>
  <c r="W49" i="48075"/>
  <c r="V49" i="48075"/>
  <c r="U49" i="48075"/>
  <c r="R49" i="48075"/>
  <c r="Q49" i="48075"/>
  <c r="J49" i="48075"/>
  <c r="AF48" i="48075"/>
  <c r="AF51" i="48075"/>
  <c r="AD48" i="48075"/>
  <c r="AE48" i="48075" s="1"/>
  <c r="AC48" i="48075"/>
  <c r="AC51" i="48075"/>
  <c r="AA48" i="48075"/>
  <c r="Z48" i="48075"/>
  <c r="X48" i="48075"/>
  <c r="X51" i="48075" s="1"/>
  <c r="W48" i="48075"/>
  <c r="W51" i="48075" s="1"/>
  <c r="V48" i="48075"/>
  <c r="U48" i="48075"/>
  <c r="R48" i="48075"/>
  <c r="Q48" i="48075"/>
  <c r="J48" i="48075"/>
  <c r="H48" i="48075"/>
  <c r="S23" i="48075"/>
  <c r="R23" i="48075"/>
  <c r="N22" i="48075"/>
  <c r="N23" i="48075" s="1"/>
  <c r="J22" i="48075"/>
  <c r="J21" i="48075"/>
  <c r="J20" i="48075"/>
  <c r="O19" i="48075"/>
  <c r="J19" i="48075"/>
  <c r="J18" i="48075"/>
  <c r="G18" i="48075"/>
  <c r="J17" i="48075"/>
  <c r="H17" i="48075"/>
  <c r="L22" i="48074"/>
  <c r="P51" i="48074"/>
  <c r="Q51" i="48074" s="1"/>
  <c r="O51" i="48074"/>
  <c r="L51" i="48074"/>
  <c r="M51" i="48074"/>
  <c r="K51" i="48074"/>
  <c r="AB50" i="48074"/>
  <c r="Y50" i="48074"/>
  <c r="AA50" i="48074" s="1"/>
  <c r="V50" i="48074"/>
  <c r="W50" i="48074" s="1"/>
  <c r="S50" i="48074"/>
  <c r="R50" i="48074"/>
  <c r="Q50" i="48074"/>
  <c r="N50" i="48074"/>
  <c r="M50" i="48074"/>
  <c r="J50" i="48074"/>
  <c r="D50" i="48074"/>
  <c r="C50" i="48074"/>
  <c r="H50" i="48074" s="1"/>
  <c r="AB49" i="48074"/>
  <c r="Y49" i="48074"/>
  <c r="V49" i="48074"/>
  <c r="W49" i="48074"/>
  <c r="S49" i="48074"/>
  <c r="U49" i="48074" s="1"/>
  <c r="R49" i="48074"/>
  <c r="Q49" i="48074"/>
  <c r="N49" i="48074"/>
  <c r="M49" i="48074"/>
  <c r="J49" i="48074"/>
  <c r="D49" i="48074"/>
  <c r="E49" i="48074"/>
  <c r="C49" i="48074"/>
  <c r="G49" i="48074"/>
  <c r="AB48" i="48074"/>
  <c r="AC48" i="48074" s="1"/>
  <c r="Z51" i="48074"/>
  <c r="Y48" i="48074"/>
  <c r="Y51" i="48074" s="1"/>
  <c r="V48" i="48074"/>
  <c r="S48" i="48074"/>
  <c r="R48" i="48074"/>
  <c r="Q48" i="48074"/>
  <c r="N48" i="48074"/>
  <c r="N51" i="48074" s="1"/>
  <c r="M48" i="48074"/>
  <c r="J48" i="48074"/>
  <c r="D48" i="48074"/>
  <c r="C48" i="48074"/>
  <c r="C51" i="48074"/>
  <c r="G51" i="48074" s="1"/>
  <c r="O23" i="48074"/>
  <c r="P23" i="48074"/>
  <c r="N23" i="48074"/>
  <c r="P22" i="48074"/>
  <c r="K22" i="48074"/>
  <c r="J22" i="48074"/>
  <c r="P21" i="48074"/>
  <c r="M21" i="48074"/>
  <c r="J21" i="48074"/>
  <c r="D21" i="48074"/>
  <c r="E21" i="48074"/>
  <c r="C21" i="48074"/>
  <c r="G21" i="48074"/>
  <c r="P20" i="48074"/>
  <c r="M20" i="48074"/>
  <c r="J20" i="48074"/>
  <c r="D20" i="48074"/>
  <c r="C20" i="48074"/>
  <c r="G20" i="48074"/>
  <c r="P19" i="48074"/>
  <c r="M19" i="48074"/>
  <c r="J19" i="48074"/>
  <c r="D19" i="48074"/>
  <c r="E19" i="48074" s="1"/>
  <c r="C19" i="48074"/>
  <c r="G19" i="48074" s="1"/>
  <c r="V23" i="48074"/>
  <c r="P18" i="48074"/>
  <c r="M18" i="48074"/>
  <c r="J18" i="48074"/>
  <c r="D18" i="48074"/>
  <c r="E18" i="48074" s="1"/>
  <c r="C18" i="48074"/>
  <c r="G18" i="48074"/>
  <c r="P17" i="48074"/>
  <c r="M17" i="48074"/>
  <c r="J17" i="48074"/>
  <c r="D17" i="48074"/>
  <c r="C17" i="48074"/>
  <c r="G17" i="48074" s="1"/>
  <c r="Z50" i="48073"/>
  <c r="Z49" i="48073"/>
  <c r="Z48" i="48073"/>
  <c r="T50" i="48073"/>
  <c r="T49" i="48073"/>
  <c r="T48" i="48073"/>
  <c r="L19" i="48073"/>
  <c r="P21" i="48073"/>
  <c r="P18" i="48073"/>
  <c r="O23" i="48073"/>
  <c r="P23" i="48073" s="1"/>
  <c r="P51" i="48073"/>
  <c r="Q51" i="48073" s="1"/>
  <c r="O51" i="48073"/>
  <c r="L51" i="48073"/>
  <c r="M51" i="48073"/>
  <c r="K51" i="48073"/>
  <c r="AB50" i="48073"/>
  <c r="AC50" i="48073" s="1"/>
  <c r="Y50" i="48073"/>
  <c r="AA50" i="48073" s="1"/>
  <c r="V50" i="48073"/>
  <c r="W50" i="48073" s="1"/>
  <c r="S50" i="48073"/>
  <c r="X50" i="48073" s="1"/>
  <c r="R50" i="48073"/>
  <c r="Q50" i="48073"/>
  <c r="N50" i="48073"/>
  <c r="M50" i="48073"/>
  <c r="J50" i="48073"/>
  <c r="D50" i="48073"/>
  <c r="C50" i="48073"/>
  <c r="G50" i="48073" s="1"/>
  <c r="F50" i="48073" s="1"/>
  <c r="AB49" i="48073"/>
  <c r="Y49" i="48073"/>
  <c r="V49" i="48073"/>
  <c r="S49" i="48073"/>
  <c r="U49" i="48073"/>
  <c r="R49" i="48073"/>
  <c r="Q49" i="48073"/>
  <c r="N49" i="48073"/>
  <c r="M49" i="48073"/>
  <c r="J49" i="48073"/>
  <c r="D49" i="48073"/>
  <c r="C49" i="48073"/>
  <c r="G49" i="48073"/>
  <c r="F49" i="48073" s="1"/>
  <c r="AB48" i="48073"/>
  <c r="AB51" i="48073" s="1"/>
  <c r="Y48" i="48073"/>
  <c r="Y51" i="48073" s="1"/>
  <c r="V48" i="48073"/>
  <c r="V51" i="48073" s="1"/>
  <c r="S48" i="48073"/>
  <c r="R48" i="48073"/>
  <c r="Q48" i="48073"/>
  <c r="N48" i="48073"/>
  <c r="N51" i="48073"/>
  <c r="M48" i="48073"/>
  <c r="J48" i="48073"/>
  <c r="D48" i="48073"/>
  <c r="C48" i="48073"/>
  <c r="G48" i="48073" s="1"/>
  <c r="C51" i="48073"/>
  <c r="G51" i="48073" s="1"/>
  <c r="N23" i="48073"/>
  <c r="P22" i="48073"/>
  <c r="K22" i="48073"/>
  <c r="M22" i="48073"/>
  <c r="J22" i="48073"/>
  <c r="D22" i="48073"/>
  <c r="M21" i="48073"/>
  <c r="J21" i="48073"/>
  <c r="D21" i="48073"/>
  <c r="C21" i="48073"/>
  <c r="G21" i="48073"/>
  <c r="P20" i="48073"/>
  <c r="M20" i="48073"/>
  <c r="J20" i="48073"/>
  <c r="D20" i="48073"/>
  <c r="E20" i="48073" s="1"/>
  <c r="C20" i="48073"/>
  <c r="G20" i="48073"/>
  <c r="F20" i="48073"/>
  <c r="P19" i="48073"/>
  <c r="L23" i="48073"/>
  <c r="J19" i="48073"/>
  <c r="D19" i="48073"/>
  <c r="E19" i="48073" s="1"/>
  <c r="C19" i="48073"/>
  <c r="G19" i="48073"/>
  <c r="M18" i="48073"/>
  <c r="J18" i="48073"/>
  <c r="D18" i="48073"/>
  <c r="C18" i="48073"/>
  <c r="G18" i="48073" s="1"/>
  <c r="F18" i="48073" s="1"/>
  <c r="M17" i="48073"/>
  <c r="J17" i="48073"/>
  <c r="D17" i="48073"/>
  <c r="H17" i="48073" s="1"/>
  <c r="C17" i="48073"/>
  <c r="G17" i="48073" s="1"/>
  <c r="T50" i="48072"/>
  <c r="T51" i="48072" s="1"/>
  <c r="T49" i="48072"/>
  <c r="Z50" i="48072"/>
  <c r="Z49" i="48072"/>
  <c r="Z48" i="48072"/>
  <c r="M50" i="48072"/>
  <c r="L19" i="48072"/>
  <c r="P51" i="48072"/>
  <c r="Q51" i="48072" s="1"/>
  <c r="O51" i="48072"/>
  <c r="L51" i="48072"/>
  <c r="M51" i="48072"/>
  <c r="K51" i="48072"/>
  <c r="AB50" i="48072"/>
  <c r="Y50" i="48072"/>
  <c r="AA50" i="48072"/>
  <c r="AD50" i="48072"/>
  <c r="V50" i="48072"/>
  <c r="S50" i="48072"/>
  <c r="U50" i="48072"/>
  <c r="R50" i="48072"/>
  <c r="Q50" i="48072"/>
  <c r="N50" i="48072"/>
  <c r="J50" i="48072"/>
  <c r="D50" i="48072"/>
  <c r="C50" i="48072"/>
  <c r="AB49" i="48072"/>
  <c r="Y49" i="48072"/>
  <c r="AA49" i="48072" s="1"/>
  <c r="V49" i="48072"/>
  <c r="W49" i="48072"/>
  <c r="S49" i="48072"/>
  <c r="U49" i="48072" s="1"/>
  <c r="R49" i="48072"/>
  <c r="R51" i="48072" s="1"/>
  <c r="Q49" i="48072"/>
  <c r="N49" i="48072"/>
  <c r="M49" i="48072"/>
  <c r="J49" i="48072"/>
  <c r="D49" i="48072"/>
  <c r="E49" i="48072" s="1"/>
  <c r="C49" i="48072"/>
  <c r="G49" i="48072" s="1"/>
  <c r="F49" i="48072" s="1"/>
  <c r="H49" i="48072"/>
  <c r="AB48" i="48072"/>
  <c r="AC48" i="48072" s="1"/>
  <c r="Y48" i="48072"/>
  <c r="AD48" i="48072"/>
  <c r="V48" i="48072"/>
  <c r="V51" i="48072"/>
  <c r="S48" i="48072"/>
  <c r="U48" i="48072"/>
  <c r="R48" i="48072"/>
  <c r="Q48" i="48072"/>
  <c r="N48" i="48072"/>
  <c r="N51" i="48072" s="1"/>
  <c r="M48" i="48072"/>
  <c r="J48" i="48072"/>
  <c r="D48" i="48072"/>
  <c r="E48" i="48072" s="1"/>
  <c r="C48" i="48072"/>
  <c r="G48" i="48072" s="1"/>
  <c r="F48" i="48072" s="1"/>
  <c r="O23" i="48072"/>
  <c r="P23" i="48072" s="1"/>
  <c r="N23" i="48072"/>
  <c r="P22" i="48072"/>
  <c r="K22" i="48072"/>
  <c r="J22" i="48072"/>
  <c r="D22" i="48072"/>
  <c r="P21" i="48072"/>
  <c r="M21" i="48072"/>
  <c r="J21" i="48072"/>
  <c r="D21" i="48072"/>
  <c r="C21" i="48072"/>
  <c r="P20" i="48072"/>
  <c r="M20" i="48072"/>
  <c r="J20" i="48072"/>
  <c r="D20" i="48072"/>
  <c r="C20" i="48072"/>
  <c r="H20" i="48072"/>
  <c r="P19" i="48072"/>
  <c r="M19" i="48072"/>
  <c r="L23" i="48072"/>
  <c r="J19" i="48072"/>
  <c r="D19" i="48072"/>
  <c r="C19" i="48072"/>
  <c r="P18" i="48072"/>
  <c r="M18" i="48072"/>
  <c r="J18" i="48072"/>
  <c r="D18" i="48072"/>
  <c r="C18" i="48072"/>
  <c r="P17" i="48072"/>
  <c r="M17" i="48072"/>
  <c r="J17" i="48072"/>
  <c r="D17" i="48072"/>
  <c r="C17" i="48072"/>
  <c r="H17" i="48072" s="1"/>
  <c r="L51" i="48042"/>
  <c r="K51" i="48042"/>
  <c r="D50" i="48042"/>
  <c r="D49" i="48042"/>
  <c r="D48" i="48042"/>
  <c r="C50" i="48042"/>
  <c r="C49" i="48042"/>
  <c r="C48" i="48042"/>
  <c r="H48" i="48042"/>
  <c r="M50" i="48042"/>
  <c r="M49" i="48042"/>
  <c r="M48" i="48042"/>
  <c r="D22" i="48042"/>
  <c r="D21" i="48042"/>
  <c r="D20" i="48042"/>
  <c r="D18" i="48042"/>
  <c r="D17" i="48042"/>
  <c r="C21" i="48042"/>
  <c r="C20" i="48042"/>
  <c r="C19" i="48042"/>
  <c r="C18" i="48042"/>
  <c r="G18" i="48042"/>
  <c r="F18" i="48042" s="1"/>
  <c r="C17" i="48042"/>
  <c r="H17" i="48042" s="1"/>
  <c r="K22" i="48042"/>
  <c r="C22" i="48042" s="1"/>
  <c r="L19" i="48042"/>
  <c r="D19" i="48042" s="1"/>
  <c r="C6" i="48062"/>
  <c r="D6" i="48062"/>
  <c r="E6" i="48062"/>
  <c r="F6" i="48062"/>
  <c r="G6" i="48062"/>
  <c r="H6" i="48062"/>
  <c r="I6" i="48062"/>
  <c r="J6" i="48062"/>
  <c r="K6" i="48062"/>
  <c r="L6" i="48062"/>
  <c r="M6" i="48062"/>
  <c r="N6" i="48062"/>
  <c r="O6" i="48062"/>
  <c r="P6" i="48062"/>
  <c r="Q6" i="48062"/>
  <c r="D3" i="48060"/>
  <c r="W17" i="48074"/>
  <c r="E3" i="48060"/>
  <c r="U17" i="48073" s="1"/>
  <c r="F3" i="48060"/>
  <c r="G3" i="48060"/>
  <c r="H3" i="48060"/>
  <c r="I3" i="48060"/>
  <c r="J3" i="48060"/>
  <c r="K3" i="48060"/>
  <c r="L3" i="48060"/>
  <c r="M3" i="48060"/>
  <c r="N3" i="48060"/>
  <c r="O3" i="48060"/>
  <c r="P3" i="48060"/>
  <c r="Q3" i="48060"/>
  <c r="D5" i="48060"/>
  <c r="W18" i="48072"/>
  <c r="E5" i="48060"/>
  <c r="F5" i="48060"/>
  <c r="G5" i="48060"/>
  <c r="H5" i="48060"/>
  <c r="I5" i="48060"/>
  <c r="J5" i="48060"/>
  <c r="K5" i="48060"/>
  <c r="L5" i="48060"/>
  <c r="M5" i="48060"/>
  <c r="N5" i="48060"/>
  <c r="O5" i="48060"/>
  <c r="P5" i="48060"/>
  <c r="Q5" i="48060"/>
  <c r="D7" i="48060"/>
  <c r="E7" i="48060"/>
  <c r="F7" i="48060"/>
  <c r="G7" i="48060"/>
  <c r="H7" i="48060"/>
  <c r="I7" i="48060"/>
  <c r="J7" i="48060"/>
  <c r="K7" i="48060"/>
  <c r="L7" i="48060"/>
  <c r="M7" i="48060"/>
  <c r="N7" i="48060"/>
  <c r="O7" i="48060"/>
  <c r="P7" i="48060"/>
  <c r="Q7" i="48060"/>
  <c r="D10" i="48060"/>
  <c r="T19" i="48065" s="1"/>
  <c r="T23" i="48065" s="1"/>
  <c r="E10" i="48060"/>
  <c r="U19" i="48073"/>
  <c r="F10" i="48060"/>
  <c r="G10" i="48060"/>
  <c r="H10" i="48060"/>
  <c r="I10" i="48060"/>
  <c r="J10" i="48060"/>
  <c r="K10" i="48060"/>
  <c r="L10" i="48060"/>
  <c r="M10" i="48060"/>
  <c r="N10" i="48060"/>
  <c r="O10" i="48060"/>
  <c r="P10" i="48060"/>
  <c r="Q10" i="48060"/>
  <c r="D12" i="48060"/>
  <c r="E12" i="48060"/>
  <c r="F12" i="48060"/>
  <c r="G12" i="48060"/>
  <c r="V20" i="48072" s="1"/>
  <c r="X20" i="48072" s="1"/>
  <c r="H12" i="48060"/>
  <c r="I12" i="48060"/>
  <c r="J12" i="48060"/>
  <c r="K12" i="48060"/>
  <c r="L12" i="48060"/>
  <c r="M12" i="48060"/>
  <c r="N12" i="48060"/>
  <c r="O12" i="48060"/>
  <c r="P12" i="48060"/>
  <c r="Q12" i="48060"/>
  <c r="D14" i="48060"/>
  <c r="W21" i="48072"/>
  <c r="E14" i="48060"/>
  <c r="U21" i="48074" s="1"/>
  <c r="F14" i="48060"/>
  <c r="G14" i="48060"/>
  <c r="S21" i="48065" s="1"/>
  <c r="U21" i="48065" s="1"/>
  <c r="H14" i="48060"/>
  <c r="I14" i="48060"/>
  <c r="J14" i="48060"/>
  <c r="K14" i="48060"/>
  <c r="L14" i="48060"/>
  <c r="M14" i="48060"/>
  <c r="N14" i="48060"/>
  <c r="O14" i="48060"/>
  <c r="P14" i="48060"/>
  <c r="Q14" i="48060"/>
  <c r="D16" i="48060"/>
  <c r="E16" i="48060"/>
  <c r="F16" i="48060"/>
  <c r="G16" i="48060"/>
  <c r="S22" i="48065" s="1"/>
  <c r="U22" i="48065" s="1"/>
  <c r="H16" i="48060"/>
  <c r="I16" i="48060"/>
  <c r="J16" i="48060"/>
  <c r="K16" i="48060"/>
  <c r="L16" i="48060"/>
  <c r="M16" i="48060"/>
  <c r="N16" i="48060"/>
  <c r="O16" i="48060"/>
  <c r="P16" i="48060"/>
  <c r="Q16" i="48060"/>
  <c r="D18" i="48060"/>
  <c r="E18" i="48060"/>
  <c r="F18" i="48060"/>
  <c r="G18" i="48060"/>
  <c r="H18" i="48060"/>
  <c r="I18" i="48060"/>
  <c r="J18" i="48060"/>
  <c r="K18" i="48060"/>
  <c r="K21" i="48060"/>
  <c r="L18" i="48060"/>
  <c r="M18" i="48060"/>
  <c r="N18" i="48060"/>
  <c r="O18" i="48060"/>
  <c r="P18" i="48060"/>
  <c r="Q18" i="48060"/>
  <c r="D20" i="48060"/>
  <c r="E20" i="48060"/>
  <c r="F20" i="48060"/>
  <c r="G20" i="48060"/>
  <c r="H20" i="48060"/>
  <c r="I20" i="48060"/>
  <c r="J20" i="48060"/>
  <c r="K20" i="48060"/>
  <c r="L20" i="48060"/>
  <c r="M20" i="48060"/>
  <c r="N20" i="48060"/>
  <c r="O20" i="48060"/>
  <c r="P20" i="48060"/>
  <c r="Q20" i="48060"/>
  <c r="R2" i="48061"/>
  <c r="R3" i="48061"/>
  <c r="S3" i="48061" s="1"/>
  <c r="R4" i="48061"/>
  <c r="S4" i="48061"/>
  <c r="R5" i="48061"/>
  <c r="S5" i="48061" s="1"/>
  <c r="C6" i="48061"/>
  <c r="D6" i="48061"/>
  <c r="E6" i="48061"/>
  <c r="F6" i="48061"/>
  <c r="G6" i="48061"/>
  <c r="H6" i="48061"/>
  <c r="I6" i="48061"/>
  <c r="J6" i="48061"/>
  <c r="K6" i="48061"/>
  <c r="L6" i="48061"/>
  <c r="M6" i="48061"/>
  <c r="N6" i="48061"/>
  <c r="O6" i="48061"/>
  <c r="P6" i="48061"/>
  <c r="Q6" i="48061"/>
  <c r="D3" i="48057"/>
  <c r="S17" i="48073" s="1"/>
  <c r="X17" i="48076"/>
  <c r="E3" i="48057"/>
  <c r="F3" i="48057"/>
  <c r="G3" i="48057"/>
  <c r="H3" i="48057"/>
  <c r="I3" i="48057"/>
  <c r="J3" i="48057"/>
  <c r="K3" i="48057"/>
  <c r="L3" i="48057"/>
  <c r="M3" i="48057"/>
  <c r="N3" i="48057"/>
  <c r="O3" i="48057"/>
  <c r="P3" i="48057"/>
  <c r="Q3" i="48057"/>
  <c r="D5" i="48057"/>
  <c r="S18" i="48072" s="1"/>
  <c r="E5" i="48057"/>
  <c r="Q18" i="48073"/>
  <c r="F5" i="48057"/>
  <c r="G5" i="48057"/>
  <c r="H5" i="48057"/>
  <c r="I5" i="48057"/>
  <c r="J5" i="48057"/>
  <c r="K5" i="48057"/>
  <c r="L5" i="48057"/>
  <c r="M5" i="48057"/>
  <c r="N5" i="48057"/>
  <c r="O5" i="48057"/>
  <c r="P5" i="48057"/>
  <c r="Q5" i="48057"/>
  <c r="D7" i="48057"/>
  <c r="E7" i="48057"/>
  <c r="F7" i="48057"/>
  <c r="G7" i="48057"/>
  <c r="H7" i="48057"/>
  <c r="I7" i="48057"/>
  <c r="J7" i="48057"/>
  <c r="K7" i="48057"/>
  <c r="L7" i="48057"/>
  <c r="M7" i="48057"/>
  <c r="N7" i="48057"/>
  <c r="O7" i="48057"/>
  <c r="P7" i="48057"/>
  <c r="Q7" i="48057"/>
  <c r="D10" i="48057"/>
  <c r="X19" i="48075" s="1"/>
  <c r="E10" i="48057"/>
  <c r="F10" i="48057"/>
  <c r="G10" i="48057"/>
  <c r="H10" i="48057"/>
  <c r="H21" i="48057" s="1"/>
  <c r="I10" i="48057"/>
  <c r="J10" i="48057"/>
  <c r="K10" i="48057"/>
  <c r="L10" i="48057"/>
  <c r="M10" i="48057"/>
  <c r="N10" i="48057"/>
  <c r="O10" i="48057"/>
  <c r="P10" i="48057"/>
  <c r="Q10" i="48057"/>
  <c r="D12" i="48057"/>
  <c r="E12" i="48057"/>
  <c r="Q20" i="48072"/>
  <c r="F12" i="48057"/>
  <c r="Z20" i="48079" s="1"/>
  <c r="G12" i="48057"/>
  <c r="H12" i="48057"/>
  <c r="I12" i="48057"/>
  <c r="O20" i="48066" s="1"/>
  <c r="Q20" i="48066" s="1"/>
  <c r="J12" i="48057"/>
  <c r="K12" i="48057"/>
  <c r="L12" i="48057"/>
  <c r="M12" i="48057"/>
  <c r="N12" i="48057"/>
  <c r="O12" i="48057"/>
  <c r="P12" i="48057"/>
  <c r="Q12" i="48057"/>
  <c r="D14" i="48057"/>
  <c r="E14" i="48057"/>
  <c r="F14" i="48057"/>
  <c r="G14" i="48057"/>
  <c r="R21" i="48072" s="1"/>
  <c r="T21" i="48072" s="1"/>
  <c r="H14" i="48057"/>
  <c r="I14" i="48057"/>
  <c r="J14" i="48057"/>
  <c r="K14" i="48057"/>
  <c r="L14" i="48057"/>
  <c r="M14" i="48057"/>
  <c r="N14" i="48057"/>
  <c r="N21" i="48057" s="1"/>
  <c r="O14" i="48057"/>
  <c r="P14" i="48057"/>
  <c r="Q14" i="48057"/>
  <c r="D16" i="48057"/>
  <c r="E16" i="48057"/>
  <c r="F16" i="48057"/>
  <c r="G16" i="48057"/>
  <c r="H16" i="48057"/>
  <c r="I16" i="48057"/>
  <c r="O22" i="48065" s="1"/>
  <c r="Q22" i="48065" s="1"/>
  <c r="J16" i="48057"/>
  <c r="K16" i="48057"/>
  <c r="L16" i="48057"/>
  <c r="M16" i="48057"/>
  <c r="N16" i="48057"/>
  <c r="O16" i="48057"/>
  <c r="P16" i="48057"/>
  <c r="Q16" i="48057"/>
  <c r="Q21" i="48057" s="1"/>
  <c r="D18" i="48057"/>
  <c r="E18" i="48057"/>
  <c r="F18" i="48057"/>
  <c r="G18" i="48057"/>
  <c r="H18" i="48057"/>
  <c r="I18" i="48057"/>
  <c r="J18" i="48057"/>
  <c r="K18" i="48057"/>
  <c r="L18" i="48057"/>
  <c r="M18" i="48057"/>
  <c r="N18" i="48057"/>
  <c r="O18" i="48057"/>
  <c r="P18" i="48057"/>
  <c r="Q18" i="48057"/>
  <c r="D20" i="48057"/>
  <c r="E20" i="48057"/>
  <c r="N22" i="48069"/>
  <c r="F20" i="48057"/>
  <c r="G20" i="48057"/>
  <c r="H20" i="48057"/>
  <c r="I20" i="48057"/>
  <c r="J20" i="48057"/>
  <c r="K20" i="48057"/>
  <c r="L20" i="48057"/>
  <c r="M20" i="48057"/>
  <c r="N20" i="48057"/>
  <c r="O20" i="48057"/>
  <c r="P20" i="48057"/>
  <c r="Q20" i="48057"/>
  <c r="C6" i="48059"/>
  <c r="D6" i="48059"/>
  <c r="E6" i="48059"/>
  <c r="D3" i="48058"/>
  <c r="E3" i="48058"/>
  <c r="D5" i="48058"/>
  <c r="E5" i="48058"/>
  <c r="D7" i="48058"/>
  <c r="E7" i="48058"/>
  <c r="D10" i="48058"/>
  <c r="E10" i="48058"/>
  <c r="D12" i="48058"/>
  <c r="E12" i="48058"/>
  <c r="D14" i="48058"/>
  <c r="E14" i="48058"/>
  <c r="D16" i="48058"/>
  <c r="E16" i="48058"/>
  <c r="D18" i="48058"/>
  <c r="E18" i="48058"/>
  <c r="D20" i="48058"/>
  <c r="E20" i="48058"/>
  <c r="C6" i="48064"/>
  <c r="D6" i="48064"/>
  <c r="E6" i="48064"/>
  <c r="D3" i="48063"/>
  <c r="E3" i="48063"/>
  <c r="D5" i="48063"/>
  <c r="D18" i="48065" s="1"/>
  <c r="E5" i="48063"/>
  <c r="D7" i="48063"/>
  <c r="E7" i="48063"/>
  <c r="D10" i="48063"/>
  <c r="E10" i="48063"/>
  <c r="D12" i="48063"/>
  <c r="E12" i="48063"/>
  <c r="D14" i="48063"/>
  <c r="E14" i="48063"/>
  <c r="D16" i="48063"/>
  <c r="E16" i="48063"/>
  <c r="D18" i="48063"/>
  <c r="E18" i="48063"/>
  <c r="D20" i="48063"/>
  <c r="E20" i="48063"/>
  <c r="C6" i="48068"/>
  <c r="D6" i="48068"/>
  <c r="E6" i="48068"/>
  <c r="D3" i="48067"/>
  <c r="E3" i="48067"/>
  <c r="E21" i="48067" s="1"/>
  <c r="D5" i="48067"/>
  <c r="D18" i="48066"/>
  <c r="E5" i="48067"/>
  <c r="D7" i="48067"/>
  <c r="E7" i="48067"/>
  <c r="D10" i="48067"/>
  <c r="D19" i="48066" s="1"/>
  <c r="E10" i="48067"/>
  <c r="D12" i="48067"/>
  <c r="E12" i="48067"/>
  <c r="D14" i="48067"/>
  <c r="D21" i="48066" s="1"/>
  <c r="E14" i="48067"/>
  <c r="D16" i="48067"/>
  <c r="E16" i="48067"/>
  <c r="D18" i="48067"/>
  <c r="D22" i="48066" s="1"/>
  <c r="L22" i="48066" s="1"/>
  <c r="E18" i="48067"/>
  <c r="D20" i="48067"/>
  <c r="E20" i="48067"/>
  <c r="D21" i="48067"/>
  <c r="D3" i="48070"/>
  <c r="E3" i="48070"/>
  <c r="D5" i="48070"/>
  <c r="D18" i="48069"/>
  <c r="E5" i="48070"/>
  <c r="D7" i="48070"/>
  <c r="E7" i="48070"/>
  <c r="D10" i="48070"/>
  <c r="D19" i="48069" s="1"/>
  <c r="E10" i="48070"/>
  <c r="D12" i="48070"/>
  <c r="E12" i="48070"/>
  <c r="D14" i="48070"/>
  <c r="D21" i="48069"/>
  <c r="E14" i="48070"/>
  <c r="D16" i="48070"/>
  <c r="E16" i="48070"/>
  <c r="D18" i="48070"/>
  <c r="E18" i="48070"/>
  <c r="D20" i="48070"/>
  <c r="E20" i="48070"/>
  <c r="C6" i="48071"/>
  <c r="D6" i="48071"/>
  <c r="E6" i="48071"/>
  <c r="C17" i="48069"/>
  <c r="K17" i="48069"/>
  <c r="D17" i="48069"/>
  <c r="F17" i="48069" s="1"/>
  <c r="J17" i="48069"/>
  <c r="N17" i="48069"/>
  <c r="P17" i="48069"/>
  <c r="R17" i="48069"/>
  <c r="T17" i="48069"/>
  <c r="C18" i="48069"/>
  <c r="K18" i="48069" s="1"/>
  <c r="M18" i="48069" s="1"/>
  <c r="J18" i="48069"/>
  <c r="P18" i="48069"/>
  <c r="R18" i="48069"/>
  <c r="T18" i="48069"/>
  <c r="C19" i="48069"/>
  <c r="K19" i="48069" s="1"/>
  <c r="J19" i="48069"/>
  <c r="P19" i="48069"/>
  <c r="R19" i="48069"/>
  <c r="T19" i="48069"/>
  <c r="D20" i="48069"/>
  <c r="J20" i="48069"/>
  <c r="N20" i="48069"/>
  <c r="P20" i="48069"/>
  <c r="R20" i="48069"/>
  <c r="C21" i="48069"/>
  <c r="H21" i="48069" s="1"/>
  <c r="J21" i="48069"/>
  <c r="P21" i="48069"/>
  <c r="T21" i="48069"/>
  <c r="J22" i="48069"/>
  <c r="C48" i="48069"/>
  <c r="F48" i="48069" s="1"/>
  <c r="F51" i="48069" s="1"/>
  <c r="D48" i="48069"/>
  <c r="L48" i="48069" s="1"/>
  <c r="M48" i="48069" s="1"/>
  <c r="J48" i="48069"/>
  <c r="O48" i="48069"/>
  <c r="P48" i="48069"/>
  <c r="R48" i="48069"/>
  <c r="U48" i="48069"/>
  <c r="V48" i="48069"/>
  <c r="X48" i="48069"/>
  <c r="C49" i="48069"/>
  <c r="D49" i="48069"/>
  <c r="L49" i="48069" s="1"/>
  <c r="J49" i="48069"/>
  <c r="O49" i="48069"/>
  <c r="P49" i="48069"/>
  <c r="R49" i="48069"/>
  <c r="R51" i="48069" s="1"/>
  <c r="U49" i="48069"/>
  <c r="Z49" i="48069" s="1"/>
  <c r="V49" i="48069"/>
  <c r="W49" i="48069" s="1"/>
  <c r="X49" i="48069"/>
  <c r="C50" i="48069"/>
  <c r="D50" i="48069"/>
  <c r="J50" i="48069"/>
  <c r="O50" i="48069"/>
  <c r="T50" i="48069" s="1"/>
  <c r="P50" i="48069"/>
  <c r="Q50" i="48069" s="1"/>
  <c r="R50" i="48069"/>
  <c r="U50" i="48069"/>
  <c r="U51" i="48069"/>
  <c r="V50" i="48069"/>
  <c r="X50" i="48069"/>
  <c r="D17" i="48066"/>
  <c r="J17" i="48066"/>
  <c r="N17" i="48066"/>
  <c r="P17" i="48066"/>
  <c r="R17" i="48066"/>
  <c r="T17" i="48066"/>
  <c r="C18" i="48066"/>
  <c r="K18" i="48066" s="1"/>
  <c r="M18" i="48066" s="1"/>
  <c r="J18" i="48066"/>
  <c r="N18" i="48066"/>
  <c r="P18" i="48066"/>
  <c r="R18" i="48066"/>
  <c r="T18" i="48066"/>
  <c r="C19" i="48066"/>
  <c r="J19" i="48066"/>
  <c r="P19" i="48066"/>
  <c r="R19" i="48066"/>
  <c r="T19" i="48066"/>
  <c r="D20" i="48066"/>
  <c r="J20" i="48066"/>
  <c r="N20" i="48066"/>
  <c r="P20" i="48066"/>
  <c r="S20" i="48066"/>
  <c r="T20" i="48066"/>
  <c r="C21" i="48066"/>
  <c r="G21" i="48066"/>
  <c r="J21" i="48066"/>
  <c r="K21" i="48066"/>
  <c r="N21" i="48066"/>
  <c r="T21" i="48066"/>
  <c r="J22" i="48066"/>
  <c r="N22" i="48066"/>
  <c r="T22" i="48066"/>
  <c r="C48" i="48066"/>
  <c r="D48" i="48066"/>
  <c r="J48" i="48066"/>
  <c r="O48" i="48066"/>
  <c r="P48" i="48066"/>
  <c r="S48" i="48066" s="1"/>
  <c r="R48" i="48066"/>
  <c r="U48" i="48066"/>
  <c r="Z48" i="48066" s="1"/>
  <c r="Z51" i="48066" s="1"/>
  <c r="V48" i="48066"/>
  <c r="W48" i="48066" s="1"/>
  <c r="X48" i="48066"/>
  <c r="C49" i="48066"/>
  <c r="K49" i="48066"/>
  <c r="D49" i="48066"/>
  <c r="J49" i="48066"/>
  <c r="O49" i="48066"/>
  <c r="P49" i="48066"/>
  <c r="R49" i="48066"/>
  <c r="R51" i="48066"/>
  <c r="U49" i="48066"/>
  <c r="V49" i="48066"/>
  <c r="X49" i="48066"/>
  <c r="C50" i="48066"/>
  <c r="D50" i="48066"/>
  <c r="J50" i="48066"/>
  <c r="O50" i="48066"/>
  <c r="P50" i="48066"/>
  <c r="R50" i="48066"/>
  <c r="U50" i="48066"/>
  <c r="V50" i="48066"/>
  <c r="Y50" i="48066"/>
  <c r="X50" i="48066"/>
  <c r="D17" i="48065"/>
  <c r="J17" i="48065"/>
  <c r="P17" i="48065"/>
  <c r="P23" i="48065" s="1"/>
  <c r="R17" i="48065"/>
  <c r="T17" i="48065"/>
  <c r="C18" i="48065"/>
  <c r="K18" i="48065" s="1"/>
  <c r="J18" i="48065"/>
  <c r="N18" i="48065"/>
  <c r="O18" i="48065"/>
  <c r="P18" i="48065"/>
  <c r="R18" i="48065"/>
  <c r="S18" i="48065"/>
  <c r="T18" i="48065"/>
  <c r="C19" i="48065"/>
  <c r="K19" i="48065"/>
  <c r="D19" i="48065"/>
  <c r="F19" i="48065"/>
  <c r="G19" i="48065"/>
  <c r="J19" i="48065"/>
  <c r="N19" i="48065"/>
  <c r="O19" i="48065"/>
  <c r="Q19" i="48065" s="1"/>
  <c r="P19" i="48065"/>
  <c r="R19" i="48065"/>
  <c r="S19" i="48065"/>
  <c r="U19" i="48065" s="1"/>
  <c r="C20" i="48065"/>
  <c r="D20" i="48065"/>
  <c r="J20" i="48065"/>
  <c r="N20" i="48065"/>
  <c r="O20" i="48065"/>
  <c r="Q20" i="48065" s="1"/>
  <c r="P20" i="48065"/>
  <c r="R20" i="48065"/>
  <c r="S20" i="48065"/>
  <c r="U20" i="48065" s="1"/>
  <c r="T20" i="48065"/>
  <c r="C21" i="48065"/>
  <c r="G21" i="48065"/>
  <c r="D21" i="48065"/>
  <c r="L21" i="48065"/>
  <c r="J21" i="48065"/>
  <c r="K21" i="48065"/>
  <c r="N21" i="48065"/>
  <c r="O21" i="48065"/>
  <c r="Q21" i="48065" s="1"/>
  <c r="P21" i="48065"/>
  <c r="T21" i="48065"/>
  <c r="C22" i="48065"/>
  <c r="K22" i="48065"/>
  <c r="D22" i="48065"/>
  <c r="L22" i="48065"/>
  <c r="M22" i="48065" s="1"/>
  <c r="E22" i="48065"/>
  <c r="J22" i="48065"/>
  <c r="N22" i="48065"/>
  <c r="P22" i="48065"/>
  <c r="R22" i="48065"/>
  <c r="T22" i="48065"/>
  <c r="C48" i="48065"/>
  <c r="K48" i="48065" s="1"/>
  <c r="D48" i="48065"/>
  <c r="L48" i="48065" s="1"/>
  <c r="H48" i="48065"/>
  <c r="J48" i="48065"/>
  <c r="O48" i="48065"/>
  <c r="P48" i="48065"/>
  <c r="Q48" i="48065" s="1"/>
  <c r="R48" i="48065"/>
  <c r="U48" i="48065"/>
  <c r="V48" i="48065"/>
  <c r="Y48" i="48065" s="1"/>
  <c r="X48" i="48065"/>
  <c r="C49" i="48065"/>
  <c r="K49" i="48065" s="1"/>
  <c r="D49" i="48065"/>
  <c r="J49" i="48065"/>
  <c r="L49" i="48065"/>
  <c r="O49" i="48065"/>
  <c r="Q49" i="48065" s="1"/>
  <c r="P49" i="48065"/>
  <c r="R49" i="48065"/>
  <c r="U49" i="48065"/>
  <c r="U51" i="48065" s="1"/>
  <c r="W51" i="48065" s="1"/>
  <c r="V49" i="48065"/>
  <c r="X49" i="48065"/>
  <c r="C50" i="48065"/>
  <c r="G50" i="48065"/>
  <c r="D50" i="48065"/>
  <c r="L50" i="48065"/>
  <c r="J50" i="48065"/>
  <c r="O50" i="48065"/>
  <c r="P50" i="48065"/>
  <c r="R50" i="48065"/>
  <c r="R51" i="48065" s="1"/>
  <c r="S51" i="48065" s="1"/>
  <c r="U50" i="48065"/>
  <c r="V50" i="48065"/>
  <c r="X50" i="48065"/>
  <c r="X51" i="48065"/>
  <c r="J17" i="48042"/>
  <c r="M17" i="48042"/>
  <c r="O23" i="48042"/>
  <c r="Q17" i="48042"/>
  <c r="S17" i="48042"/>
  <c r="U17" i="48042"/>
  <c r="V17" i="48042"/>
  <c r="W17" i="48042"/>
  <c r="H18" i="48042"/>
  <c r="J18" i="48042"/>
  <c r="M18" i="48042"/>
  <c r="P18" i="48042"/>
  <c r="Q18" i="48042"/>
  <c r="R18" i="48042"/>
  <c r="S18" i="48042"/>
  <c r="U18" i="48042"/>
  <c r="V18" i="48042"/>
  <c r="X18" i="48042" s="1"/>
  <c r="W18" i="48042"/>
  <c r="J19" i="48042"/>
  <c r="M19" i="48042"/>
  <c r="P19" i="48042"/>
  <c r="Q19" i="48042"/>
  <c r="R19" i="48042"/>
  <c r="T19" i="48042" s="1"/>
  <c r="S19" i="48042"/>
  <c r="U19" i="48042"/>
  <c r="V19" i="48042"/>
  <c r="W19" i="48042"/>
  <c r="E20" i="48042"/>
  <c r="G20" i="48042"/>
  <c r="F20" i="48042"/>
  <c r="J20" i="48042"/>
  <c r="M20" i="48042"/>
  <c r="P20" i="48042"/>
  <c r="Q20" i="48042"/>
  <c r="R20" i="48042"/>
  <c r="S20" i="48042"/>
  <c r="U20" i="48042"/>
  <c r="V20" i="48042"/>
  <c r="X20" i="48042" s="1"/>
  <c r="W20" i="48042"/>
  <c r="H21" i="48042"/>
  <c r="G21" i="48042"/>
  <c r="F21" i="48042" s="1"/>
  <c r="J21" i="48042"/>
  <c r="M21" i="48042"/>
  <c r="P21" i="48042"/>
  <c r="Q21" i="48042"/>
  <c r="R21" i="48042"/>
  <c r="V21" i="48042"/>
  <c r="W21" i="48042"/>
  <c r="J22" i="48042"/>
  <c r="M22" i="48042"/>
  <c r="P22" i="48042"/>
  <c r="Q22" i="48042"/>
  <c r="R22" i="48042"/>
  <c r="S22" i="48042"/>
  <c r="U22" i="48042"/>
  <c r="V22" i="48042"/>
  <c r="X22" i="48042" s="1"/>
  <c r="W22" i="48042"/>
  <c r="N23" i="48042"/>
  <c r="J48" i="48042"/>
  <c r="N48" i="48042"/>
  <c r="O51" i="48042"/>
  <c r="Q48" i="48042"/>
  <c r="R48" i="48042"/>
  <c r="S48" i="48042"/>
  <c r="T48" i="48042"/>
  <c r="V48" i="48042"/>
  <c r="Y48" i="48042"/>
  <c r="Z48" i="48042"/>
  <c r="AC48" i="48042" s="1"/>
  <c r="AB48" i="48042"/>
  <c r="E49" i="48042"/>
  <c r="J49" i="48042"/>
  <c r="N49" i="48042"/>
  <c r="Q49" i="48042"/>
  <c r="R49" i="48042"/>
  <c r="R51" i="48042"/>
  <c r="S49" i="48042"/>
  <c r="T49" i="48042"/>
  <c r="U49" i="48042" s="1"/>
  <c r="V49" i="48042"/>
  <c r="Y49" i="48042"/>
  <c r="Z49" i="48042"/>
  <c r="AA49" i="48042" s="1"/>
  <c r="AB49" i="48042"/>
  <c r="J50" i="48042"/>
  <c r="N50" i="48042"/>
  <c r="N51" i="48042" s="1"/>
  <c r="R50" i="48042"/>
  <c r="P51" i="48042"/>
  <c r="Q51" i="48042" s="1"/>
  <c r="S50" i="48042"/>
  <c r="X50" i="48042" s="1"/>
  <c r="T50" i="48042"/>
  <c r="W50" i="48042" s="1"/>
  <c r="V50" i="48042"/>
  <c r="Y50" i="48042"/>
  <c r="AA50" i="48042"/>
  <c r="Z50" i="48042"/>
  <c r="AB50" i="48042"/>
  <c r="H50" i="48042"/>
  <c r="D51" i="48042"/>
  <c r="G50" i="48042"/>
  <c r="F50" i="48042"/>
  <c r="E48" i="48042"/>
  <c r="H20" i="48042"/>
  <c r="E18" i="48042"/>
  <c r="P23" i="48042"/>
  <c r="G17" i="48042"/>
  <c r="F17" i="48042"/>
  <c r="H50" i="48065"/>
  <c r="G48" i="48042"/>
  <c r="F48" i="48042" s="1"/>
  <c r="E21" i="48065"/>
  <c r="G20" i="48065"/>
  <c r="Q49" i="48066"/>
  <c r="H49" i="48066"/>
  <c r="V51" i="48069"/>
  <c r="S50" i="48069"/>
  <c r="K50" i="48069"/>
  <c r="T49" i="48069"/>
  <c r="Q50" i="48042"/>
  <c r="H49" i="48042"/>
  <c r="E21" i="48042"/>
  <c r="C51" i="48065"/>
  <c r="K50" i="48065"/>
  <c r="N50" i="48065" s="1"/>
  <c r="U18" i="48065"/>
  <c r="D51" i="48066"/>
  <c r="L50" i="48066"/>
  <c r="D51" i="48069"/>
  <c r="F50" i="48069"/>
  <c r="Y49" i="48069"/>
  <c r="Q49" i="48069"/>
  <c r="K48" i="48069"/>
  <c r="N48" i="48069" s="1"/>
  <c r="E48" i="48069"/>
  <c r="K21" i="48069"/>
  <c r="E21" i="48069"/>
  <c r="L20" i="48069"/>
  <c r="G19" i="48042"/>
  <c r="T49" i="48066"/>
  <c r="G49" i="48066"/>
  <c r="F49" i="48066"/>
  <c r="Z50" i="48069"/>
  <c r="H48" i="48069"/>
  <c r="P17" i="48042"/>
  <c r="G49" i="48065"/>
  <c r="F49" i="48065" s="1"/>
  <c r="S48" i="48065"/>
  <c r="G22" i="48065"/>
  <c r="F22" i="48065"/>
  <c r="E19" i="48065"/>
  <c r="W50" i="48069"/>
  <c r="H18" i="48069"/>
  <c r="V51" i="48065"/>
  <c r="Y51" i="48065" s="1"/>
  <c r="L21" i="48069"/>
  <c r="M21" i="48069" s="1"/>
  <c r="L17" i="48069"/>
  <c r="M17" i="48069" s="1"/>
  <c r="G51" i="48065"/>
  <c r="X17" i="48042"/>
  <c r="AC50" i="48042"/>
  <c r="AD49" i="48042"/>
  <c r="AD50" i="48042"/>
  <c r="T22" i="48042"/>
  <c r="V23" i="48042"/>
  <c r="U48" i="48042"/>
  <c r="Y51" i="48042"/>
  <c r="X21" i="48042"/>
  <c r="T18" i="48042"/>
  <c r="W48" i="48042"/>
  <c r="M51" i="48042"/>
  <c r="D23" i="48072"/>
  <c r="E18" i="48072"/>
  <c r="H48" i="48072"/>
  <c r="H19" i="48072"/>
  <c r="C51" i="48072"/>
  <c r="G51" i="48072" s="1"/>
  <c r="F51" i="48072" s="1"/>
  <c r="E20" i="48072"/>
  <c r="H21" i="48072"/>
  <c r="M22" i="48072"/>
  <c r="W48" i="48072"/>
  <c r="AA48" i="48072"/>
  <c r="X49" i="48072"/>
  <c r="X50" i="48072"/>
  <c r="D51" i="48072"/>
  <c r="E51" i="48072" s="1"/>
  <c r="X48" i="48072"/>
  <c r="X51" i="48072" s="1"/>
  <c r="AC49" i="48072"/>
  <c r="W50" i="48072"/>
  <c r="Z51" i="48072"/>
  <c r="P17" i="48073"/>
  <c r="X48" i="48073"/>
  <c r="H49" i="48073"/>
  <c r="H48" i="48073"/>
  <c r="AC48" i="48073"/>
  <c r="D51" i="48073"/>
  <c r="H20" i="48073"/>
  <c r="F21" i="48073"/>
  <c r="K23" i="48073"/>
  <c r="AD48" i="48073"/>
  <c r="W49" i="48073"/>
  <c r="H19" i="48073"/>
  <c r="U48" i="48073"/>
  <c r="M19" i="48073"/>
  <c r="C22" i="48073"/>
  <c r="G22" i="48073"/>
  <c r="AA48" i="48073"/>
  <c r="X19" i="48042"/>
  <c r="S50" i="48065"/>
  <c r="Y49" i="48065"/>
  <c r="W49" i="48065"/>
  <c r="U51" i="48066"/>
  <c r="E48" i="48066"/>
  <c r="W49" i="48066"/>
  <c r="Y49" i="48066"/>
  <c r="V51" i="48066"/>
  <c r="Z48" i="48069"/>
  <c r="Z51" i="48069" s="1"/>
  <c r="W51" i="48069"/>
  <c r="E18" i="48066"/>
  <c r="L18" i="48066"/>
  <c r="T20" i="48042"/>
  <c r="H18" i="48066"/>
  <c r="AC49" i="48042"/>
  <c r="L20" i="48065"/>
  <c r="L17" i="48065"/>
  <c r="Q50" i="48066"/>
  <c r="H50" i="48066"/>
  <c r="G48" i="48066"/>
  <c r="F48" i="48066" s="1"/>
  <c r="K48" i="48066"/>
  <c r="H48" i="48066"/>
  <c r="G19" i="48066"/>
  <c r="K19" i="48066"/>
  <c r="E21" i="48063"/>
  <c r="Y48" i="48066"/>
  <c r="X51" i="48066"/>
  <c r="AD49" i="48072"/>
  <c r="AD51" i="48072"/>
  <c r="Y51" i="48072"/>
  <c r="AA51" i="48072"/>
  <c r="U50" i="48042"/>
  <c r="M50" i="48065"/>
  <c r="W50" i="48066"/>
  <c r="Q23" i="48042"/>
  <c r="P51" i="48065"/>
  <c r="M21" i="48065"/>
  <c r="T50" i="48066"/>
  <c r="T23" i="48066"/>
  <c r="S2" i="48061"/>
  <c r="S6" i="48061" s="1"/>
  <c r="R6" i="48061"/>
  <c r="G48" i="48065"/>
  <c r="F48" i="48065"/>
  <c r="H19" i="48065"/>
  <c r="Z49" i="48066"/>
  <c r="L48" i="48066"/>
  <c r="U20" i="48066"/>
  <c r="Y50" i="48069"/>
  <c r="S49" i="48069"/>
  <c r="E18" i="48069"/>
  <c r="F18" i="48069"/>
  <c r="O22" i="48066"/>
  <c r="O21" i="48066"/>
  <c r="O21" i="48069"/>
  <c r="Q21" i="48069" s="1"/>
  <c r="N21" i="48069"/>
  <c r="Q21" i="48072"/>
  <c r="O20" i="48069"/>
  <c r="Q20" i="48069" s="1"/>
  <c r="N19" i="48066"/>
  <c r="N23" i="48066" s="1"/>
  <c r="N19" i="48069"/>
  <c r="O18" i="48069"/>
  <c r="Q18" i="48069"/>
  <c r="N18" i="48069"/>
  <c r="Q18" i="48072"/>
  <c r="O21" i="48057"/>
  <c r="K21" i="48057"/>
  <c r="O17" i="48069"/>
  <c r="L23" i="48042"/>
  <c r="Q19" i="48072"/>
  <c r="Q48" i="48066"/>
  <c r="X51" i="48069"/>
  <c r="Y51" i="48069" s="1"/>
  <c r="Q48" i="48069"/>
  <c r="S48" i="48069"/>
  <c r="P51" i="48069"/>
  <c r="S51" i="48069" s="1"/>
  <c r="S22" i="48066"/>
  <c r="U22" i="48066"/>
  <c r="T22" i="48069"/>
  <c r="W22" i="48072"/>
  <c r="V21" i="48072"/>
  <c r="X21" i="48072"/>
  <c r="S21" i="48066"/>
  <c r="U21" i="48066"/>
  <c r="S21" i="48069"/>
  <c r="U21" i="48069"/>
  <c r="S20" i="48069"/>
  <c r="U20" i="48069"/>
  <c r="W20" i="48072"/>
  <c r="T20" i="48069"/>
  <c r="T23" i="48069"/>
  <c r="V19" i="48072"/>
  <c r="S18" i="48069"/>
  <c r="U18" i="48069" s="1"/>
  <c r="P21" i="48060"/>
  <c r="L21" i="48060"/>
  <c r="S17" i="48066"/>
  <c r="H21" i="48060"/>
  <c r="S17" i="48069"/>
  <c r="D21" i="48060"/>
  <c r="W17" i="48072"/>
  <c r="G50" i="48072"/>
  <c r="F50" i="48072"/>
  <c r="H50" i="48072"/>
  <c r="S51" i="48072"/>
  <c r="G18" i="48066"/>
  <c r="F18" i="48066"/>
  <c r="Y48" i="48069"/>
  <c r="O51" i="48069"/>
  <c r="L18" i="48069"/>
  <c r="F21" i="48069"/>
  <c r="D21" i="48058"/>
  <c r="Q22" i="48072"/>
  <c r="F21" i="48060"/>
  <c r="K23" i="48072"/>
  <c r="M23" i="48072" s="1"/>
  <c r="C22" i="48072"/>
  <c r="C23" i="48072" s="1"/>
  <c r="G20" i="48072"/>
  <c r="F20" i="48072"/>
  <c r="W48" i="48069"/>
  <c r="T48" i="48069"/>
  <c r="T51" i="48069" s="1"/>
  <c r="F21" i="48057"/>
  <c r="C23" i="48073"/>
  <c r="G23" i="48073"/>
  <c r="H22" i="48073"/>
  <c r="U17" i="48069"/>
  <c r="Q17" i="48069"/>
  <c r="U17" i="48066"/>
  <c r="N23" i="48069"/>
  <c r="G22" i="48072"/>
  <c r="F22" i="48072" s="1"/>
  <c r="H22" i="48072"/>
  <c r="E22" i="48072"/>
  <c r="Q51" i="48069"/>
  <c r="M48" i="48066"/>
  <c r="N48" i="48066"/>
  <c r="W51" i="48066"/>
  <c r="Y51" i="48066"/>
  <c r="AD49" i="48073"/>
  <c r="T51" i="48073"/>
  <c r="U50" i="48073"/>
  <c r="E51" i="48073"/>
  <c r="E49" i="48073"/>
  <c r="F22" i="48073"/>
  <c r="D23" i="48073"/>
  <c r="E23" i="48073"/>
  <c r="F19" i="48073"/>
  <c r="H18" i="48073"/>
  <c r="E18" i="48073"/>
  <c r="W51" i="48073"/>
  <c r="R51" i="48074"/>
  <c r="H49" i="48074"/>
  <c r="F21" i="48074"/>
  <c r="F18" i="48074"/>
  <c r="AA51" i="48074"/>
  <c r="R23" i="48074"/>
  <c r="X50" i="48074"/>
  <c r="D51" i="48074"/>
  <c r="E51" i="48074" s="1"/>
  <c r="X17" i="48074"/>
  <c r="F20" i="48074"/>
  <c r="K23" i="48074"/>
  <c r="E48" i="48074"/>
  <c r="AD48" i="48074"/>
  <c r="AA49" i="48074"/>
  <c r="U50" i="48074"/>
  <c r="AC50" i="48074"/>
  <c r="T51" i="48074"/>
  <c r="F19" i="48074"/>
  <c r="H20" i="48074"/>
  <c r="C22" i="48074"/>
  <c r="G22" i="48074" s="1"/>
  <c r="W48" i="48074"/>
  <c r="AA48" i="48074"/>
  <c r="F49" i="48074"/>
  <c r="H19" i="48074"/>
  <c r="AD49" i="48074"/>
  <c r="M51" i="48075"/>
  <c r="V51" i="48075"/>
  <c r="R51" i="48075"/>
  <c r="E49" i="48075"/>
  <c r="E48" i="48075"/>
  <c r="F50" i="48075"/>
  <c r="M23" i="48075"/>
  <c r="H20" i="48075"/>
  <c r="E20" i="48075"/>
  <c r="F21" i="48075"/>
  <c r="F18" i="48075"/>
  <c r="Y51" i="48075"/>
  <c r="H18" i="48075"/>
  <c r="G19" i="48075"/>
  <c r="F19" i="48075" s="1"/>
  <c r="H21" i="48075"/>
  <c r="G22" i="48075"/>
  <c r="G49" i="48075"/>
  <c r="F49" i="48075" s="1"/>
  <c r="AB49" i="48075"/>
  <c r="AH50" i="48075"/>
  <c r="E18" i="48075"/>
  <c r="E21" i="48075"/>
  <c r="G48" i="48075"/>
  <c r="F48" i="48075" s="1"/>
  <c r="AB48" i="48075"/>
  <c r="AB51" i="48075" s="1"/>
  <c r="Y49" i="48075"/>
  <c r="AA50" i="48075"/>
  <c r="AE50" i="48075"/>
  <c r="C51" i="48075"/>
  <c r="G51" i="48075"/>
  <c r="F51" i="48075" s="1"/>
  <c r="G17" i="48075"/>
  <c r="F17" i="48075" s="1"/>
  <c r="E19" i="48075"/>
  <c r="C23" i="48075"/>
  <c r="G23" i="48075" s="1"/>
  <c r="Y48" i="48075"/>
  <c r="AG48" i="48075"/>
  <c r="D51" i="48075"/>
  <c r="E51" i="48075" s="1"/>
  <c r="AD51" i="48075"/>
  <c r="AG51" i="48075" s="1"/>
  <c r="Z52" i="48076"/>
  <c r="AE51" i="48076"/>
  <c r="AC52" i="48076"/>
  <c r="AE52" i="48076" s="1"/>
  <c r="F19" i="48076"/>
  <c r="D22" i="48076"/>
  <c r="D23" i="48076"/>
  <c r="E22" i="48076"/>
  <c r="M22" i="48076"/>
  <c r="H21" i="48076"/>
  <c r="V52" i="48076"/>
  <c r="F17" i="48076"/>
  <c r="F23" i="48076" s="1"/>
  <c r="AG52" i="48076"/>
  <c r="F18" i="48076"/>
  <c r="H18" i="48076"/>
  <c r="F20" i="48076"/>
  <c r="T23" i="48076"/>
  <c r="U23" i="48076"/>
  <c r="E18" i="48076"/>
  <c r="H20" i="48076"/>
  <c r="Y49" i="48076"/>
  <c r="AG49" i="48076"/>
  <c r="AB50" i="48076"/>
  <c r="AB52" i="48076"/>
  <c r="AB51" i="48076"/>
  <c r="W52" i="48076"/>
  <c r="AH49" i="48076"/>
  <c r="Y50" i="48076"/>
  <c r="AG50" i="48076"/>
  <c r="Y51" i="48076"/>
  <c r="AG51" i="48076"/>
  <c r="X52" i="48076"/>
  <c r="AA52" i="48076" s="1"/>
  <c r="H17" i="48076"/>
  <c r="Y17" i="48076"/>
  <c r="H19" i="48076"/>
  <c r="E20" i="48076"/>
  <c r="F21" i="48076"/>
  <c r="E17" i="48076"/>
  <c r="H49" i="48076"/>
  <c r="AE49" i="48076"/>
  <c r="F50" i="48076"/>
  <c r="AH50" i="48076"/>
  <c r="F22" i="48076"/>
  <c r="AH52" i="48076"/>
  <c r="R52" i="48077"/>
  <c r="E21" i="48077"/>
  <c r="E18" i="48077"/>
  <c r="F21" i="48077"/>
  <c r="F22" i="48077"/>
  <c r="H19" i="48077"/>
  <c r="D23" i="48077"/>
  <c r="E19" i="48077"/>
  <c r="F19" i="48077"/>
  <c r="Q23" i="48077"/>
  <c r="AG52" i="48077"/>
  <c r="F18" i="48077"/>
  <c r="F20" i="48077"/>
  <c r="E22" i="48077"/>
  <c r="E17" i="48077"/>
  <c r="H18" i="48077"/>
  <c r="M19" i="48077"/>
  <c r="H20" i="48077"/>
  <c r="AE49" i="48077"/>
  <c r="F50" i="48077"/>
  <c r="Y51" i="48077"/>
  <c r="AH51" i="48077"/>
  <c r="AH52" i="48077" s="1"/>
  <c r="AC52" i="48077"/>
  <c r="AE52" i="48077"/>
  <c r="F17" i="48077"/>
  <c r="H49" i="48077"/>
  <c r="AB49" i="48077"/>
  <c r="AH50" i="48077"/>
  <c r="D52" i="48077"/>
  <c r="E52" i="48077" s="1"/>
  <c r="W52" i="48077"/>
  <c r="Y52" i="48077" s="1"/>
  <c r="Q22" i="48077"/>
  <c r="L23" i="48077"/>
  <c r="M23" i="48077"/>
  <c r="AG51" i="48077"/>
  <c r="F49" i="48077"/>
  <c r="AA49" i="48077"/>
  <c r="Y52" i="48076"/>
  <c r="C23" i="48074"/>
  <c r="G23" i="48074"/>
  <c r="W49" i="48042"/>
  <c r="T51" i="48042"/>
  <c r="X49" i="48042"/>
  <c r="S51" i="48042"/>
  <c r="X48" i="48042"/>
  <c r="X51" i="48042" s="1"/>
  <c r="F50" i="48065"/>
  <c r="Z49" i="48065"/>
  <c r="F21" i="48065"/>
  <c r="H21" i="48065"/>
  <c r="H20" i="48065"/>
  <c r="K20" i="48065"/>
  <c r="M20" i="48065" s="1"/>
  <c r="L19" i="48065"/>
  <c r="Q18" i="48065"/>
  <c r="G18" i="48065"/>
  <c r="O51" i="48066"/>
  <c r="T48" i="48066"/>
  <c r="T51" i="48066"/>
  <c r="O17" i="48066"/>
  <c r="O17" i="48065"/>
  <c r="G21" i="48057"/>
  <c r="R17" i="48042"/>
  <c r="I21" i="48060"/>
  <c r="O23" i="48075"/>
  <c r="Q23" i="48075"/>
  <c r="Q19" i="48075"/>
  <c r="V51" i="48042"/>
  <c r="W23" i="48042"/>
  <c r="Q50" i="48065"/>
  <c r="T50" i="48065"/>
  <c r="H49" i="48065"/>
  <c r="E49" i="48065"/>
  <c r="D51" i="48065"/>
  <c r="P51" i="48066"/>
  <c r="S50" i="48066"/>
  <c r="G50" i="48066"/>
  <c r="F50" i="48066" s="1"/>
  <c r="C51" i="48066"/>
  <c r="K50" i="48066"/>
  <c r="O19" i="48066"/>
  <c r="Q19" i="48066" s="1"/>
  <c r="O19" i="48069"/>
  <c r="I21" i="48057"/>
  <c r="X23" i="48042"/>
  <c r="Z51" i="48042"/>
  <c r="AD48" i="48042"/>
  <c r="AD51" i="48042" s="1"/>
  <c r="AA48" i="48042"/>
  <c r="Y50" i="48065"/>
  <c r="Z50" i="48065"/>
  <c r="W50" i="48065"/>
  <c r="Z48" i="48065"/>
  <c r="Z51" i="48065" s="1"/>
  <c r="W48" i="48065"/>
  <c r="X21" i="48076"/>
  <c r="Y21" i="48076" s="1"/>
  <c r="S21" i="48074"/>
  <c r="T21" i="48074" s="1"/>
  <c r="X21" i="48075"/>
  <c r="S21" i="48072"/>
  <c r="P21" i="48066"/>
  <c r="S21" i="48073"/>
  <c r="S21" i="48042"/>
  <c r="S23" i="48042" s="1"/>
  <c r="AB51" i="48042"/>
  <c r="T49" i="48065"/>
  <c r="S49" i="48065"/>
  <c r="O51" i="48065"/>
  <c r="Q51" i="48065" s="1"/>
  <c r="T48" i="48065"/>
  <c r="T51" i="48065" s="1"/>
  <c r="E20" i="48065"/>
  <c r="F20" i="48065"/>
  <c r="L20" i="48066"/>
  <c r="F49" i="48069"/>
  <c r="K49" i="48069"/>
  <c r="E49" i="48069"/>
  <c r="C51" i="48069"/>
  <c r="H49" i="48069"/>
  <c r="D22" i="48069"/>
  <c r="D21" i="48070"/>
  <c r="Z21" i="48075"/>
  <c r="R21" i="48069"/>
  <c r="U21" i="48072"/>
  <c r="Z21" i="48076"/>
  <c r="U21" i="48073"/>
  <c r="R21" i="48066"/>
  <c r="R21" i="48065"/>
  <c r="R23" i="48065" s="1"/>
  <c r="U21" i="48042"/>
  <c r="U23" i="48042" s="1"/>
  <c r="C51" i="48042"/>
  <c r="G49" i="48042"/>
  <c r="F49" i="48042"/>
  <c r="E17" i="48069"/>
  <c r="H17" i="48069"/>
  <c r="S49" i="48066"/>
  <c r="E49" i="48066"/>
  <c r="L49" i="48066"/>
  <c r="L50" i="48069"/>
  <c r="M50" i="48069" s="1"/>
  <c r="H50" i="48069"/>
  <c r="D21" i="48063"/>
  <c r="C22" i="48066"/>
  <c r="C22" i="48069"/>
  <c r="K22" i="48069"/>
  <c r="C20" i="48069"/>
  <c r="C20" i="48066"/>
  <c r="E21" i="48058"/>
  <c r="C17" i="48065"/>
  <c r="C17" i="48066"/>
  <c r="M21" i="48057"/>
  <c r="V19" i="48075"/>
  <c r="Q19" i="48074"/>
  <c r="V19" i="48076"/>
  <c r="R18" i="48072"/>
  <c r="T18" i="48072" s="1"/>
  <c r="V17" i="48075"/>
  <c r="V17" i="48076"/>
  <c r="Q17" i="48074"/>
  <c r="Q17" i="48072"/>
  <c r="Q23" i="48072"/>
  <c r="Q17" i="48073"/>
  <c r="N17" i="48065"/>
  <c r="N23" i="48065" s="1"/>
  <c r="E21" i="48057"/>
  <c r="R22" i="48069"/>
  <c r="R22" i="48066"/>
  <c r="U22" i="48072"/>
  <c r="U20" i="48073"/>
  <c r="Z20" i="48075"/>
  <c r="Z20" i="48076"/>
  <c r="U20" i="48072"/>
  <c r="U20" i="48074"/>
  <c r="E21" i="48060"/>
  <c r="R20" i="48066"/>
  <c r="R23" i="48066" s="1"/>
  <c r="O21" i="48060"/>
  <c r="S19" i="48069"/>
  <c r="S19" i="48066"/>
  <c r="U19" i="48066" s="1"/>
  <c r="G21" i="48060"/>
  <c r="Q21" i="48060"/>
  <c r="M21" i="48060"/>
  <c r="G18" i="48072"/>
  <c r="F18" i="48072"/>
  <c r="H18" i="48072"/>
  <c r="AC50" i="48072"/>
  <c r="AB51" i="48072"/>
  <c r="AC51" i="48072"/>
  <c r="Z50" i="48066"/>
  <c r="E21" i="48070"/>
  <c r="W22" i="48075"/>
  <c r="R22" i="48073"/>
  <c r="R22" i="48072"/>
  <c r="O22" i="48069"/>
  <c r="J21" i="48060"/>
  <c r="AA18" i="48076"/>
  <c r="V18" i="48073"/>
  <c r="V18" i="48072"/>
  <c r="X18" i="48072" s="1"/>
  <c r="S18" i="48066"/>
  <c r="AA18" i="48075"/>
  <c r="G19" i="48072"/>
  <c r="F19" i="48072" s="1"/>
  <c r="E19" i="48072"/>
  <c r="G21" i="48072"/>
  <c r="F21" i="48072"/>
  <c r="E21" i="48072"/>
  <c r="Q19" i="48073"/>
  <c r="H17" i="48074"/>
  <c r="F17" i="48074"/>
  <c r="X48" i="48074"/>
  <c r="U48" i="48074"/>
  <c r="S51" i="48074"/>
  <c r="U51" i="48074" s="1"/>
  <c r="AC49" i="48074"/>
  <c r="AB51" i="48074"/>
  <c r="AC51" i="48074"/>
  <c r="Q19" i="48076"/>
  <c r="O23" i="48076"/>
  <c r="P22" i="48069"/>
  <c r="P23" i="48069" s="1"/>
  <c r="P22" i="48066"/>
  <c r="Q22" i="48066" s="1"/>
  <c r="S22" i="48072"/>
  <c r="T22" i="48072" s="1"/>
  <c r="R20" i="48073"/>
  <c r="R19" i="48072"/>
  <c r="P21" i="48057"/>
  <c r="L21" i="48057"/>
  <c r="D21" i="48057"/>
  <c r="O18" i="48066"/>
  <c r="Q18" i="48066" s="1"/>
  <c r="J21" i="48057"/>
  <c r="R17" i="48072"/>
  <c r="AA22" i="48076"/>
  <c r="AA22" i="48075"/>
  <c r="V22" i="48073"/>
  <c r="V22" i="48072"/>
  <c r="X22" i="48072" s="1"/>
  <c r="S22" i="48069"/>
  <c r="U22" i="48069"/>
  <c r="AB19" i="48076"/>
  <c r="W19" i="48074"/>
  <c r="X19" i="48074"/>
  <c r="W19" i="48072"/>
  <c r="W23" i="48072" s="1"/>
  <c r="X23" i="48072" s="1"/>
  <c r="AB19" i="48075"/>
  <c r="W19" i="48073"/>
  <c r="N21" i="48060"/>
  <c r="AA17" i="48075"/>
  <c r="AA17" i="48076"/>
  <c r="V17" i="48073"/>
  <c r="V17" i="48072"/>
  <c r="S17" i="48065"/>
  <c r="M23" i="48073"/>
  <c r="F51" i="48073"/>
  <c r="L17" i="48066"/>
  <c r="V22" i="48075"/>
  <c r="V22" i="48076"/>
  <c r="W21" i="48075"/>
  <c r="Y21" i="48075"/>
  <c r="R21" i="48073"/>
  <c r="T21" i="48073" s="1"/>
  <c r="V20" i="48075"/>
  <c r="V20" i="48076"/>
  <c r="Q20" i="48074"/>
  <c r="S19" i="48072"/>
  <c r="X18" i="48076"/>
  <c r="S18" i="48074"/>
  <c r="T18" i="48074" s="1"/>
  <c r="S17" i="48072"/>
  <c r="W20" i="48074"/>
  <c r="X20" i="48074" s="1"/>
  <c r="AB20" i="48076"/>
  <c r="AB20" i="48075"/>
  <c r="AA19" i="48076"/>
  <c r="AC19" i="48076" s="1"/>
  <c r="AA19" i="48075"/>
  <c r="AC19" i="48075"/>
  <c r="V19" i="48073"/>
  <c r="X19" i="48073" s="1"/>
  <c r="U18" i="48074"/>
  <c r="Z18" i="48075"/>
  <c r="U17" i="48072"/>
  <c r="E21" i="48073"/>
  <c r="F48" i="48073"/>
  <c r="E20" i="48074"/>
  <c r="H48" i="48074"/>
  <c r="X18" i="48075"/>
  <c r="AA20" i="48075"/>
  <c r="AC20" i="48075"/>
  <c r="Z51" i="48075"/>
  <c r="AA51" i="48075" s="1"/>
  <c r="G49" i="48076"/>
  <c r="F49" i="48076"/>
  <c r="C52" i="48076"/>
  <c r="G52" i="48076" s="1"/>
  <c r="F52" i="48076" s="1"/>
  <c r="AA20" i="48076"/>
  <c r="V21" i="48075"/>
  <c r="Q21" i="48073"/>
  <c r="V21" i="48076"/>
  <c r="Q21" i="48074"/>
  <c r="R20" i="48072"/>
  <c r="S19" i="48073"/>
  <c r="X19" i="48076"/>
  <c r="Y19" i="48076" s="1"/>
  <c r="S19" i="48074"/>
  <c r="T19" i="48074"/>
  <c r="W18" i="48075"/>
  <c r="Y18" i="48075" s="1"/>
  <c r="R18" i="48073"/>
  <c r="R17" i="48073"/>
  <c r="W17" i="48075"/>
  <c r="U22" i="48074"/>
  <c r="U22" i="48073"/>
  <c r="Z22" i="48075"/>
  <c r="AB21" i="48075"/>
  <c r="W21" i="48074"/>
  <c r="X21" i="48074" s="1"/>
  <c r="W21" i="48073"/>
  <c r="AB21" i="48076"/>
  <c r="Z19" i="48076"/>
  <c r="Z19" i="48075"/>
  <c r="U17" i="48074"/>
  <c r="Z17" i="48076"/>
  <c r="Z17" i="48075"/>
  <c r="U18" i="48072"/>
  <c r="S18" i="48073"/>
  <c r="Q20" i="48073"/>
  <c r="E22" i="48073"/>
  <c r="V51" i="48074"/>
  <c r="W51" i="48074"/>
  <c r="AE49" i="48075"/>
  <c r="AG49" i="48075"/>
  <c r="AH49" i="48075"/>
  <c r="T23" i="48075"/>
  <c r="U23" i="48075" s="1"/>
  <c r="U22" i="48075"/>
  <c r="Z18" i="48076"/>
  <c r="E50" i="48076"/>
  <c r="H50" i="48076"/>
  <c r="D52" i="48076"/>
  <c r="X22" i="48076"/>
  <c r="Y22" i="48076" s="1"/>
  <c r="S22" i="48074"/>
  <c r="T22" i="48074"/>
  <c r="S22" i="48073"/>
  <c r="S23" i="48073" s="1"/>
  <c r="X22" i="48075"/>
  <c r="X20" i="48076"/>
  <c r="Y20" i="48076"/>
  <c r="S20" i="48074"/>
  <c r="T20" i="48074" s="1"/>
  <c r="S20" i="48073"/>
  <c r="X20" i="48075"/>
  <c r="R19" i="48073"/>
  <c r="T19" i="48073" s="1"/>
  <c r="W19" i="48075"/>
  <c r="Y19" i="48075"/>
  <c r="V18" i="48076"/>
  <c r="V18" i="48075"/>
  <c r="AB22" i="48076"/>
  <c r="AB22" i="48075"/>
  <c r="W22" i="48074"/>
  <c r="X22" i="48074" s="1"/>
  <c r="AA21" i="48076"/>
  <c r="V21" i="48073"/>
  <c r="X21" i="48073" s="1"/>
  <c r="AA21" i="48075"/>
  <c r="AC21" i="48075"/>
  <c r="AB18" i="48076"/>
  <c r="AB18" i="48075"/>
  <c r="W18" i="48074"/>
  <c r="X18" i="48074"/>
  <c r="AB17" i="48076"/>
  <c r="AC17" i="48076" s="1"/>
  <c r="AB17" i="48075"/>
  <c r="AB23" i="48075" s="1"/>
  <c r="AC23" i="48075" s="1"/>
  <c r="U19" i="48072"/>
  <c r="F17" i="48073"/>
  <c r="F23" i="48073" s="1"/>
  <c r="W17" i="48073"/>
  <c r="U18" i="48073"/>
  <c r="U23" i="48073" s="1"/>
  <c r="W20" i="48073"/>
  <c r="Q22" i="48073"/>
  <c r="Q23" i="48073" s="1"/>
  <c r="R51" i="48073"/>
  <c r="AC49" i="48073"/>
  <c r="Z51" i="48073"/>
  <c r="AA51" i="48073" s="1"/>
  <c r="AA49" i="48073"/>
  <c r="U19" i="48074"/>
  <c r="D22" i="48074"/>
  <c r="L23" i="48074"/>
  <c r="M23" i="48074"/>
  <c r="M22" i="48074"/>
  <c r="S51" i="48073"/>
  <c r="U51" i="48073"/>
  <c r="G48" i="48074"/>
  <c r="F48" i="48074" s="1"/>
  <c r="D22" i="48075"/>
  <c r="X49" i="48073"/>
  <c r="X51" i="48073"/>
  <c r="H18" i="48074"/>
  <c r="F23" i="48077"/>
  <c r="F52" i="48077"/>
  <c r="E22" i="48074"/>
  <c r="F22" i="48074"/>
  <c r="D23" i="48074"/>
  <c r="E23" i="48074"/>
  <c r="AB23" i="48076"/>
  <c r="Z23" i="48075"/>
  <c r="AC20" i="48076"/>
  <c r="AA23" i="48076"/>
  <c r="AC23" i="48076"/>
  <c r="AC22" i="48076"/>
  <c r="T20" i="48073"/>
  <c r="Q22" i="48069"/>
  <c r="U19" i="48069"/>
  <c r="S23" i="48069"/>
  <c r="U23" i="48069" s="1"/>
  <c r="K17" i="48066"/>
  <c r="G17" i="48066"/>
  <c r="F17" i="48066" s="1"/>
  <c r="H17" i="48066"/>
  <c r="C23" i="48066"/>
  <c r="G23" i="48066" s="1"/>
  <c r="K20" i="48069"/>
  <c r="H20" i="48069"/>
  <c r="E20" i="48069"/>
  <c r="F20" i="48069"/>
  <c r="C23" i="48069"/>
  <c r="L51" i="48069"/>
  <c r="M51" i="48069"/>
  <c r="N49" i="48069"/>
  <c r="K51" i="48069"/>
  <c r="M49" i="48069"/>
  <c r="N50" i="48069"/>
  <c r="AA51" i="48042"/>
  <c r="AC51" i="48042"/>
  <c r="T17" i="48042"/>
  <c r="R23" i="48042"/>
  <c r="T23" i="48042" s="1"/>
  <c r="H22" i="48075"/>
  <c r="E22" i="48075"/>
  <c r="D23" i="48075"/>
  <c r="E23" i="48075" s="1"/>
  <c r="F22" i="48075"/>
  <c r="T17" i="48073"/>
  <c r="Y18" i="48076"/>
  <c r="X23" i="48076"/>
  <c r="Y23" i="48076" s="1"/>
  <c r="U17" i="48065"/>
  <c r="S23" i="48065"/>
  <c r="U23" i="48065" s="1"/>
  <c r="AA23" i="48075"/>
  <c r="AC17" i="48075"/>
  <c r="T17" i="48072"/>
  <c r="R23" i="48072"/>
  <c r="V23" i="48076"/>
  <c r="K17" i="48065"/>
  <c r="G17" i="48065"/>
  <c r="F17" i="48065"/>
  <c r="E17" i="48065"/>
  <c r="H17" i="48065"/>
  <c r="C23" i="48065"/>
  <c r="G51" i="48042"/>
  <c r="F51" i="48042" s="1"/>
  <c r="E51" i="48042"/>
  <c r="E17" i="48066"/>
  <c r="M19" i="48065"/>
  <c r="U51" i="48042"/>
  <c r="W51" i="48042"/>
  <c r="X19" i="48072"/>
  <c r="AC51" i="48073"/>
  <c r="AC21" i="48076"/>
  <c r="E52" i="48076"/>
  <c r="U23" i="48074"/>
  <c r="T18" i="48073"/>
  <c r="U23" i="48072"/>
  <c r="M17" i="48066"/>
  <c r="V23" i="48072"/>
  <c r="X17" i="48072"/>
  <c r="F23" i="48074"/>
  <c r="AC18" i="48075"/>
  <c r="AC18" i="48076"/>
  <c r="T22" i="48073"/>
  <c r="V23" i="48075"/>
  <c r="G22" i="48066"/>
  <c r="F22" i="48066" s="1"/>
  <c r="E22" i="48066"/>
  <c r="K22" i="48066"/>
  <c r="M22" i="48066"/>
  <c r="N49" i="48066"/>
  <c r="M49" i="48066"/>
  <c r="L51" i="48066"/>
  <c r="R23" i="48069"/>
  <c r="E22" i="48069"/>
  <c r="F22" i="48069"/>
  <c r="D23" i="48069"/>
  <c r="E23" i="48069"/>
  <c r="L22" i="48069"/>
  <c r="M22" i="48069" s="1"/>
  <c r="H51" i="48069"/>
  <c r="E51" i="48069"/>
  <c r="P23" i="48066"/>
  <c r="Q21" i="48066"/>
  <c r="Q19" i="48069"/>
  <c r="O23" i="48069"/>
  <c r="Q23" i="48069" s="1"/>
  <c r="N50" i="48066"/>
  <c r="M50" i="48066"/>
  <c r="K51" i="48066"/>
  <c r="S51" i="48066"/>
  <c r="Q51" i="48066"/>
  <c r="O23" i="48065"/>
  <c r="Q23" i="48065"/>
  <c r="Q17" i="48065"/>
  <c r="T21" i="48042"/>
  <c r="X17" i="48073"/>
  <c r="AC22" i="48075"/>
  <c r="T19" i="48072"/>
  <c r="U18" i="48066"/>
  <c r="S23" i="48066"/>
  <c r="U23" i="48066" s="1"/>
  <c r="Y22" i="48075"/>
  <c r="K20" i="48066"/>
  <c r="M20" i="48066" s="1"/>
  <c r="G20" i="48066"/>
  <c r="F20" i="48066"/>
  <c r="H20" i="48066"/>
  <c r="E20" i="48066"/>
  <c r="G51" i="48066"/>
  <c r="F51" i="48066"/>
  <c r="H51" i="48066"/>
  <c r="E51" i="48066"/>
  <c r="E51" i="48065"/>
  <c r="H51" i="48065"/>
  <c r="F51" i="48065"/>
  <c r="Q17" i="48066"/>
  <c r="O23" i="48066"/>
  <c r="Q23" i="48066"/>
  <c r="N51" i="48066"/>
  <c r="N51" i="48069"/>
  <c r="M51" i="48066"/>
  <c r="G23" i="48065"/>
  <c r="K23" i="48065"/>
  <c r="M17" i="48065"/>
  <c r="K23" i="48069"/>
  <c r="M20" i="48069"/>
  <c r="N52" i="48078"/>
  <c r="F50" i="48078"/>
  <c r="U23" i="48078"/>
  <c r="F19" i="48078"/>
  <c r="Q23" i="48078"/>
  <c r="E17" i="48078"/>
  <c r="E18" i="48078"/>
  <c r="E21" i="48078"/>
  <c r="D23" i="48078"/>
  <c r="AA23" i="48078"/>
  <c r="H49" i="48078"/>
  <c r="AB49" i="48078"/>
  <c r="AB52" i="48078" s="1"/>
  <c r="AG49" i="48078"/>
  <c r="E50" i="48078"/>
  <c r="Y50" i="48078"/>
  <c r="F51" i="48078"/>
  <c r="AA51" i="48078"/>
  <c r="W52" i="48078"/>
  <c r="Y52" i="48078"/>
  <c r="AE52" i="48078"/>
  <c r="F18" i="48078"/>
  <c r="E19" i="48078"/>
  <c r="F20" i="48078"/>
  <c r="E22" i="48078"/>
  <c r="Q22" i="48078"/>
  <c r="E49" i="48078"/>
  <c r="AH49" i="48078"/>
  <c r="AH52" i="48078" s="1"/>
  <c r="AB51" i="48078"/>
  <c r="F49" i="48078"/>
  <c r="L18" i="48065" l="1"/>
  <c r="F18" i="48065"/>
  <c r="F23" i="48065" s="1"/>
  <c r="E18" i="48065"/>
  <c r="H18" i="48065"/>
  <c r="D23" i="48065"/>
  <c r="E23" i="48065" s="1"/>
  <c r="E22" i="48042"/>
  <c r="H22" i="48042"/>
  <c r="C23" i="48042"/>
  <c r="G23" i="48042" s="1"/>
  <c r="G22" i="48042"/>
  <c r="F22" i="48042" s="1"/>
  <c r="W51" i="48072"/>
  <c r="U51" i="48072"/>
  <c r="K23" i="48066"/>
  <c r="M49" i="48065"/>
  <c r="N49" i="48065"/>
  <c r="W23" i="48074"/>
  <c r="X23" i="48074" s="1"/>
  <c r="R23" i="48073"/>
  <c r="T23" i="48073" s="1"/>
  <c r="G23" i="48072"/>
  <c r="E23" i="48072"/>
  <c r="L51" i="48065"/>
  <c r="M48" i="48065"/>
  <c r="E19" i="48069"/>
  <c r="L19" i="48069"/>
  <c r="H19" i="48069"/>
  <c r="F19" i="48069"/>
  <c r="F23" i="48069" s="1"/>
  <c r="E21" i="48066"/>
  <c r="H21" i="48066"/>
  <c r="L21" i="48066"/>
  <c r="M21" i="48066" s="1"/>
  <c r="F21" i="48066"/>
  <c r="E19" i="48066"/>
  <c r="F19" i="48066"/>
  <c r="F23" i="48066" s="1"/>
  <c r="H19" i="48066"/>
  <c r="L19" i="48066"/>
  <c r="D23" i="48066"/>
  <c r="E23" i="48066" s="1"/>
  <c r="K51" i="48065"/>
  <c r="N48" i="48065"/>
  <c r="F19" i="48042"/>
  <c r="F23" i="48042" s="1"/>
  <c r="E19" i="48042"/>
  <c r="H19" i="48042"/>
  <c r="D23" i="48042"/>
  <c r="E23" i="48042" s="1"/>
  <c r="AE51" i="48075"/>
  <c r="F51" i="48074"/>
  <c r="E48" i="48065"/>
  <c r="Q22" i="48074"/>
  <c r="Y22" i="48079"/>
  <c r="V22" i="48077"/>
  <c r="V22" i="48078"/>
  <c r="X21" i="48078"/>
  <c r="Y21" i="48078" s="1"/>
  <c r="AA21" i="48079"/>
  <c r="X21" i="48077"/>
  <c r="Y21" i="48077" s="1"/>
  <c r="AA20" i="48079"/>
  <c r="X20" i="48078"/>
  <c r="Y20" i="48078" s="1"/>
  <c r="X20" i="48077"/>
  <c r="Y20" i="48077" s="1"/>
  <c r="Z19" i="48079"/>
  <c r="V18" i="48077"/>
  <c r="Q18" i="48074"/>
  <c r="Q23" i="48074" s="1"/>
  <c r="V18" i="48078"/>
  <c r="Y18" i="48079"/>
  <c r="AD21" i="48079"/>
  <c r="AA21" i="48077"/>
  <c r="AB21" i="48077"/>
  <c r="AB21" i="48078"/>
  <c r="AC21" i="48078" s="1"/>
  <c r="AE21" i="48079"/>
  <c r="AB18" i="48078"/>
  <c r="AC18" i="48078" s="1"/>
  <c r="AE18" i="48079"/>
  <c r="AB18" i="48077"/>
  <c r="AD17" i="48079"/>
  <c r="AA17" i="48077"/>
  <c r="AB17" i="48077"/>
  <c r="AE17" i="48079"/>
  <c r="AB17" i="48078"/>
  <c r="K23" i="48042"/>
  <c r="M23" i="48042" s="1"/>
  <c r="G17" i="48072"/>
  <c r="F17" i="48072" s="1"/>
  <c r="F23" i="48072" s="1"/>
  <c r="F20" i="48075"/>
  <c r="F23" i="48075" s="1"/>
  <c r="X22" i="48078"/>
  <c r="Y22" i="48078" s="1"/>
  <c r="AA22" i="48079"/>
  <c r="X22" i="48077"/>
  <c r="Y22" i="48077" s="1"/>
  <c r="W20" i="48075"/>
  <c r="Y20" i="48075" s="1"/>
  <c r="V19" i="48078"/>
  <c r="V19" i="48077"/>
  <c r="Y19" i="48079"/>
  <c r="AA17" i="48079"/>
  <c r="X17" i="48077"/>
  <c r="X17" i="48075"/>
  <c r="S17" i="48074"/>
  <c r="X17" i="48078"/>
  <c r="AD22" i="48079"/>
  <c r="AA22" i="48077"/>
  <c r="V20" i="48073"/>
  <c r="AD20" i="48079"/>
  <c r="AA20" i="48077"/>
  <c r="AC19" i="48079"/>
  <c r="Z19" i="48078"/>
  <c r="Z19" i="48077"/>
  <c r="AA18" i="48077"/>
  <c r="AC18" i="48077" s="1"/>
  <c r="AD18" i="48079"/>
  <c r="Z21" i="48079"/>
  <c r="V20" i="48077"/>
  <c r="Y20" i="48079"/>
  <c r="V20" i="48078"/>
  <c r="Z18" i="48079"/>
  <c r="X18" i="48078"/>
  <c r="Y18" i="48078" s="1"/>
  <c r="AA18" i="48079"/>
  <c r="X18" i="48077"/>
  <c r="Y18" i="48077" s="1"/>
  <c r="Z17" i="48079"/>
  <c r="Z22" i="48076"/>
  <c r="Z23" i="48076" s="1"/>
  <c r="AC22" i="48079"/>
  <c r="Z22" i="48077"/>
  <c r="Z22" i="48078"/>
  <c r="Z21" i="48078"/>
  <c r="AC21" i="48079"/>
  <c r="Z21" i="48077"/>
  <c r="AC20" i="48079"/>
  <c r="Z20" i="48078"/>
  <c r="Z20" i="48077"/>
  <c r="AC18" i="48079"/>
  <c r="Z18" i="48077"/>
  <c r="Z18" i="48078"/>
  <c r="Z17" i="48078"/>
  <c r="Z17" i="48077"/>
  <c r="Z23" i="48077" s="1"/>
  <c r="AC17" i="48079"/>
  <c r="W18" i="48073"/>
  <c r="X18" i="48073" s="1"/>
  <c r="F22" i="48078"/>
  <c r="Z22" i="48079"/>
  <c r="Y21" i="48079"/>
  <c r="V21" i="48077"/>
  <c r="V21" i="48078"/>
  <c r="S20" i="48072"/>
  <c r="S23" i="48072" s="1"/>
  <c r="T23" i="48072" s="1"/>
  <c r="X19" i="48077"/>
  <c r="Y19" i="48077" s="1"/>
  <c r="AA19" i="48079"/>
  <c r="X19" i="48078"/>
  <c r="Y19" i="48078" s="1"/>
  <c r="V17" i="48078"/>
  <c r="V23" i="48078" s="1"/>
  <c r="V17" i="48077"/>
  <c r="Y17" i="48079"/>
  <c r="AE22" i="48079"/>
  <c r="AB22" i="48077"/>
  <c r="AB22" i="48078"/>
  <c r="AC22" i="48078" s="1"/>
  <c r="W22" i="48073"/>
  <c r="X22" i="48073" s="1"/>
  <c r="AB20" i="48077"/>
  <c r="AE20" i="48079"/>
  <c r="AB20" i="48078"/>
  <c r="AC20" i="48078" s="1"/>
  <c r="AA19" i="48077"/>
  <c r="AD19" i="48079"/>
  <c r="AB19" i="48077"/>
  <c r="AE19" i="48079"/>
  <c r="AB19" i="48078"/>
  <c r="AC19" i="48078" s="1"/>
  <c r="AG52" i="48078"/>
  <c r="W48" i="48073"/>
  <c r="H50" i="48073"/>
  <c r="X49" i="48074"/>
  <c r="X51" i="48074" s="1"/>
  <c r="G50" i="48074"/>
  <c r="F50" i="48074" s="1"/>
  <c r="AD50" i="48074"/>
  <c r="AD51" i="48074" s="1"/>
  <c r="P23" i="48076"/>
  <c r="Q23" i="48076" s="1"/>
  <c r="AG49" i="48077"/>
  <c r="AB50" i="48077"/>
  <c r="AB52" i="48077" s="1"/>
  <c r="C23" i="48078"/>
  <c r="G21" i="48078"/>
  <c r="F21" i="48078" s="1"/>
  <c r="F23" i="48078" s="1"/>
  <c r="AD50" i="48073"/>
  <c r="AD51" i="48073" s="1"/>
  <c r="M22" i="48075"/>
  <c r="H51" i="48078"/>
  <c r="Z52" i="48078"/>
  <c r="AA52" i="48078" s="1"/>
  <c r="AH48" i="48075"/>
  <c r="AH51" i="48075" s="1"/>
  <c r="C23" i="48076"/>
  <c r="G23" i="48076" s="1"/>
  <c r="C23" i="48077"/>
  <c r="E20" i="48078"/>
  <c r="H50" i="48078"/>
  <c r="AK49" i="48079"/>
  <c r="E48" i="48073"/>
  <c r="C52" i="48078"/>
  <c r="G52" i="48078" s="1"/>
  <c r="F52" i="48078" s="1"/>
  <c r="P22" i="48079"/>
  <c r="AF22" i="48079"/>
  <c r="AB20" i="48079"/>
  <c r="AB18" i="48079"/>
  <c r="U51" i="48079"/>
  <c r="AD50" i="48079"/>
  <c r="T51" i="48079"/>
  <c r="T19" i="48079"/>
  <c r="Q51" i="48079"/>
  <c r="Y51" i="48079"/>
  <c r="AJ49" i="48079"/>
  <c r="P51" i="48079"/>
  <c r="X51" i="48079"/>
  <c r="M51" i="48079"/>
  <c r="M23" i="48079"/>
  <c r="AB19" i="48079"/>
  <c r="AF21" i="48079"/>
  <c r="Z51" i="48079"/>
  <c r="AH48" i="48079"/>
  <c r="AB49" i="48079"/>
  <c r="AJ50" i="48079"/>
  <c r="AD23" i="48079"/>
  <c r="AI51" i="48079"/>
  <c r="AK50" i="48079"/>
  <c r="AB17" i="48079"/>
  <c r="AF17" i="48079"/>
  <c r="AC23" i="48079"/>
  <c r="AC51" i="48079"/>
  <c r="AF19" i="48079"/>
  <c r="Y23" i="48079"/>
  <c r="AF20" i="48079"/>
  <c r="AF51" i="48079"/>
  <c r="AE49" i="48079"/>
  <c r="AD49" i="48079"/>
  <c r="AB50" i="48079"/>
  <c r="AA51" i="48079"/>
  <c r="AF18" i="48079"/>
  <c r="AB21" i="48079"/>
  <c r="AB22" i="48079"/>
  <c r="AD48" i="48079"/>
  <c r="AE50" i="48079"/>
  <c r="E22" i="48079"/>
  <c r="F17" i="48079"/>
  <c r="F19" i="48079"/>
  <c r="G20" i="48079"/>
  <c r="F20" i="48079" s="1"/>
  <c r="E21" i="48079"/>
  <c r="G22" i="48079"/>
  <c r="F22" i="48079" s="1"/>
  <c r="S23" i="48079"/>
  <c r="T23" i="48079" s="1"/>
  <c r="W23" i="48079"/>
  <c r="X23" i="48079" s="1"/>
  <c r="AA23" i="48079"/>
  <c r="AE23" i="48079"/>
  <c r="E48" i="48079"/>
  <c r="AE48" i="48079"/>
  <c r="AE51" i="48079" s="1"/>
  <c r="H49" i="48079"/>
  <c r="AH49" i="48079"/>
  <c r="H50" i="48079"/>
  <c r="AH50" i="48079"/>
  <c r="C51" i="48079"/>
  <c r="G51" i="48079" s="1"/>
  <c r="F51" i="48079" s="1"/>
  <c r="AG51" i="48079"/>
  <c r="AB48" i="48079"/>
  <c r="AJ48" i="48079"/>
  <c r="H17" i="48079"/>
  <c r="H19" i="48079"/>
  <c r="G21" i="48079"/>
  <c r="F21" i="48079" s="1"/>
  <c r="C23" i="48079"/>
  <c r="G23" i="48079" s="1"/>
  <c r="G48" i="48079"/>
  <c r="F48" i="48079" s="1"/>
  <c r="AK48" i="48079"/>
  <c r="E17" i="48079"/>
  <c r="V23" i="48077" l="1"/>
  <c r="Z23" i="48079"/>
  <c r="X20" i="48073"/>
  <c r="V23" i="48073"/>
  <c r="T17" i="48074"/>
  <c r="S23" i="48074"/>
  <c r="T23" i="48074" s="1"/>
  <c r="M51" i="48065"/>
  <c r="G23" i="48077"/>
  <c r="E23" i="48077"/>
  <c r="G23" i="48078"/>
  <c r="E23" i="48078"/>
  <c r="AC22" i="48077"/>
  <c r="X23" i="48075"/>
  <c r="Y17" i="48075"/>
  <c r="AB23" i="48077"/>
  <c r="M19" i="48069"/>
  <c r="L23" i="48069"/>
  <c r="M23" i="48069" s="1"/>
  <c r="T20" i="48072"/>
  <c r="AB23" i="48079"/>
  <c r="Z23" i="48078"/>
  <c r="AC20" i="48077"/>
  <c r="X23" i="48077"/>
  <c r="Y23" i="48077" s="1"/>
  <c r="Y17" i="48077"/>
  <c r="AC17" i="48077"/>
  <c r="AA23" i="48077"/>
  <c r="AC23" i="48077" s="1"/>
  <c r="AC21" i="48077"/>
  <c r="N51" i="48065"/>
  <c r="M18" i="48065"/>
  <c r="L23" i="48065"/>
  <c r="M23" i="48065" s="1"/>
  <c r="W23" i="48075"/>
  <c r="Y23" i="48075" s="1"/>
  <c r="AC19" i="48077"/>
  <c r="W23" i="48073"/>
  <c r="Y17" i="48078"/>
  <c r="X23" i="48078"/>
  <c r="Y23" i="48078" s="1"/>
  <c r="E52" i="48078"/>
  <c r="AB23" i="48078"/>
  <c r="AC23" i="48078" s="1"/>
  <c r="AC17" i="48078"/>
  <c r="M19" i="48066"/>
  <c r="L23" i="48066"/>
  <c r="M23" i="48066" s="1"/>
  <c r="E23" i="48076"/>
  <c r="AK51" i="48079"/>
  <c r="E51" i="48079"/>
  <c r="AF23" i="48079"/>
  <c r="E23" i="48079"/>
  <c r="AB51" i="48079"/>
  <c r="AD51" i="48079"/>
  <c r="AJ51" i="48079"/>
  <c r="AH51" i="48079"/>
  <c r="F23" i="48079"/>
  <c r="X23" i="48073" l="1"/>
</calcChain>
</file>

<file path=xl/sharedStrings.xml><?xml version="1.0" encoding="utf-8"?>
<sst xmlns="http://schemas.openxmlformats.org/spreadsheetml/2006/main" count="1198" uniqueCount="218">
  <si>
    <t>LICENSE AND PERMITS</t>
  </si>
  <si>
    <t>FY 2009 Adopted</t>
  </si>
  <si>
    <t>Fees/Charges for Services</t>
  </si>
  <si>
    <t>Investment Revenue</t>
  </si>
  <si>
    <t>Fines</t>
  </si>
  <si>
    <t>Revenues</t>
  </si>
  <si>
    <t>OTHER FINANCING SOURCES</t>
  </si>
  <si>
    <t>CONSERVATION</t>
  </si>
  <si>
    <t>UNCLASSIFIED</t>
  </si>
  <si>
    <t>25% of Budget Variance</t>
  </si>
  <si>
    <t>TAXES</t>
  </si>
  <si>
    <t>INTERGOVERNMENTAL REV</t>
  </si>
  <si>
    <t>INVESTMENT REVENUE</t>
  </si>
  <si>
    <t>OTHER REVENUE</t>
  </si>
  <si>
    <t>FEES/CHARGES FOR SERVICES</t>
  </si>
  <si>
    <t>INSURANCE/EMPLOYEE BENEFT</t>
  </si>
  <si>
    <t>FINES</t>
  </si>
  <si>
    <t>Budget &amp; Finance</t>
  </si>
  <si>
    <t>www.collincountytx.gov</t>
  </si>
  <si>
    <t xml:space="preserve">% of Budget </t>
  </si>
  <si>
    <t>Current / Delinquent Taxes</t>
  </si>
  <si>
    <t>Miscellaneous</t>
  </si>
  <si>
    <t>Total</t>
  </si>
  <si>
    <t>Conservation</t>
  </si>
  <si>
    <t>Transfers</t>
  </si>
  <si>
    <r>
      <t>To:</t>
    </r>
    <r>
      <rPr>
        <sz val="10"/>
        <rFont val="Arial"/>
        <family val="2"/>
      </rPr>
      <t xml:space="preserve"> </t>
    </r>
  </si>
  <si>
    <t>Collin County Judge, Commissioners and Bill Bilyeu</t>
  </si>
  <si>
    <r>
      <t>From:</t>
    </r>
    <r>
      <rPr>
        <sz val="10"/>
        <rFont val="Arial"/>
        <family val="2"/>
      </rPr>
      <t xml:space="preserve"> </t>
    </r>
  </si>
  <si>
    <r>
      <t>Date:</t>
    </r>
    <r>
      <rPr>
        <sz val="10"/>
        <rFont val="Arial"/>
        <family val="2"/>
      </rPr>
      <t xml:space="preserve"> </t>
    </r>
  </si>
  <si>
    <r>
      <t>Re:</t>
    </r>
    <r>
      <rPr>
        <sz val="10"/>
        <rFont val="Arial"/>
        <family val="2"/>
      </rPr>
      <t xml:space="preserve"> </t>
    </r>
  </si>
  <si>
    <t xml:space="preserve">            C O L L I N  C O U N T Y</t>
  </si>
  <si>
    <t>Remaining Collections</t>
  </si>
  <si>
    <t>Remaining Expenditures</t>
  </si>
  <si>
    <t>YTD Collections</t>
  </si>
  <si>
    <t>YTD Expenditures</t>
  </si>
  <si>
    <t>GENERAL ADMINISTRATION</t>
  </si>
  <si>
    <t>2300 Bloomdale Rd.</t>
  </si>
  <si>
    <t>Suite 4100</t>
  </si>
  <si>
    <t>McKinney, Texas 75071</t>
  </si>
  <si>
    <t>Basic Activity</t>
  </si>
  <si>
    <t>Sub Activity</t>
  </si>
  <si>
    <t>Fiscal Year</t>
  </si>
  <si>
    <t>Original Revenue Budget</t>
  </si>
  <si>
    <t>Actual Month 1</t>
  </si>
  <si>
    <t>Actual Month 2</t>
  </si>
  <si>
    <t>Actual Month 3</t>
  </si>
  <si>
    <t>Actual Month 4</t>
  </si>
  <si>
    <t>Actual Month 5</t>
  </si>
  <si>
    <t>Actual Month 6</t>
  </si>
  <si>
    <t>Actual Month 7</t>
  </si>
  <si>
    <t>Actual Month 8</t>
  </si>
  <si>
    <t>Actual Month 9</t>
  </si>
  <si>
    <t>Actual Month 10</t>
  </si>
  <si>
    <t>Actual Month 11</t>
  </si>
  <si>
    <t>Actual Month 12</t>
  </si>
  <si>
    <t>AD VALOREM</t>
  </si>
  <si>
    <t>NONBUSINESS LICENSE/PERMT</t>
  </si>
  <si>
    <t>FEDERAL GOV PROCEEDS</t>
  </si>
  <si>
    <t>CHARGES FOR SERVICES</t>
  </si>
  <si>
    <t>COURT</t>
  </si>
  <si>
    <t>INVESTMENT EARNINGS</t>
  </si>
  <si>
    <t>INSURANCE CLAIMS</t>
  </si>
  <si>
    <t>MISCELLANEOUS REVENUES</t>
  </si>
  <si>
    <t>PROCEEDS OF GEN F/A DISP</t>
  </si>
  <si>
    <t>Mónika Arris</t>
  </si>
  <si>
    <t>FY 2010 Adopted</t>
  </si>
  <si>
    <t>License / Permits</t>
  </si>
  <si>
    <t>Activity Basic Account</t>
  </si>
  <si>
    <t>Original Budget</t>
  </si>
  <si>
    <t>Revised Budget</t>
  </si>
  <si>
    <t>Actuals</t>
  </si>
  <si>
    <t>PUBLIC TRANSPORTATION</t>
  </si>
  <si>
    <t>2010 YTD Collections</t>
  </si>
  <si>
    <t>2009 1st Quarter Collections</t>
  </si>
  <si>
    <t>FY 2008 Adopted</t>
  </si>
  <si>
    <t>2008 1st Quarter Collections</t>
  </si>
  <si>
    <t>2009 Actual</t>
  </si>
  <si>
    <t>2008 Actual</t>
  </si>
  <si>
    <t>2010 YTD</t>
  </si>
  <si>
    <t>2010 Remaining</t>
  </si>
  <si>
    <t>2009 1st Quarter Actuals</t>
  </si>
  <si>
    <t>2009 Adjusted</t>
  </si>
  <si>
    <t xml:space="preserve">2009 Remaining </t>
  </si>
  <si>
    <t>2008 1st Quarter Actuals</t>
  </si>
  <si>
    <t>2008 Adjusted</t>
  </si>
  <si>
    <t>2008 Remaining</t>
  </si>
  <si>
    <t>TRANSPORTATION</t>
  </si>
  <si>
    <t>Road &amp; Bridge Fund Revenue by Source</t>
  </si>
  <si>
    <t>Road &amp; Bridge Fund Expenditures by Function Area</t>
  </si>
  <si>
    <t>Public Transportation</t>
  </si>
  <si>
    <t>FY 2010 2nd Quarter Report – Collin County Road &amp; Bridge Fund</t>
  </si>
  <si>
    <t>50% of Budget Variance</t>
  </si>
  <si>
    <t>2009 1st &amp; 2nd Quarter Collections</t>
  </si>
  <si>
    <t>2008 1st &amp; 2nd Quarter Collections</t>
  </si>
  <si>
    <t>2009 1st &amp; 2nd Quarter Actuals</t>
  </si>
  <si>
    <t>2008 1st &amp; 2nd Quarter Actuals</t>
  </si>
  <si>
    <t>FY 2010 3rd Quarter Report – Collin County Road &amp; Bridge Fund</t>
  </si>
  <si>
    <t>75% of Budget Variance</t>
  </si>
  <si>
    <t>2009 1st,2nd, &amp; 3rd Quarter Collections</t>
  </si>
  <si>
    <t>2008 1st,2nd &amp; 3rd Quarter Collections</t>
  </si>
  <si>
    <t>2009 1st, 2nd, &amp; 3rd Quarter Actuals</t>
  </si>
  <si>
    <t>2008 1st, 2nd, &amp; 3rd Quarter Actuals</t>
  </si>
  <si>
    <t>Public Transport</t>
  </si>
  <si>
    <t>FY 2010 4th Quarter Report – Collin County Road &amp; Bridge Fund</t>
  </si>
  <si>
    <t>2009 Actuals</t>
  </si>
  <si>
    <t xml:space="preserve"> Budget Variance F/(U)</t>
  </si>
  <si>
    <t>2008 1st,2nd,3rd &amp; 4th Quarter Collections</t>
  </si>
  <si>
    <t>2009 1st,2nd,3rd &amp; 4th Quarter Collections</t>
  </si>
  <si>
    <t>2008 1st, 2nd,3rd,  &amp; 4th Quarter Actuals</t>
  </si>
  <si>
    <t>FY 2011 1st Quarter Report – Collin County Road &amp; Bridge Fund</t>
  </si>
  <si>
    <t>FY 2011Adopted</t>
  </si>
  <si>
    <t>2011 YTD Collections</t>
  </si>
  <si>
    <t>2010 1st Quarter  Collections</t>
  </si>
  <si>
    <t>FY 2011 Adopted</t>
  </si>
  <si>
    <t>2011 YTD</t>
  </si>
  <si>
    <t>2011 Remaining</t>
  </si>
  <si>
    <t>2010 1st Quarter Actuals</t>
  </si>
  <si>
    <t>N/A</t>
  </si>
  <si>
    <t>YTD Collections as of 1/15/11</t>
  </si>
  <si>
    <t>YTD Expenditures as of 1/15/11</t>
  </si>
  <si>
    <t>FY 2011 2nd Quarter Report – Collin County Road &amp; Bridge Fund</t>
  </si>
  <si>
    <t>YTD Collections as of 4/15/11</t>
  </si>
  <si>
    <t>YTD Expenditures as of 4/15/11</t>
  </si>
  <si>
    <t>2010 2nd Quarter  Collections</t>
  </si>
  <si>
    <t>2009  2nd Quarter Collections</t>
  </si>
  <si>
    <t>2008 2nd Quarter Collections</t>
  </si>
  <si>
    <t>2008 2nd Quarter Actuals</t>
  </si>
  <si>
    <t>2009 2nd Quarter Actuals</t>
  </si>
  <si>
    <t>2010 2nd Quarter Actuals</t>
  </si>
  <si>
    <t>FY 2011 3rd Quarter Report – Collin County Road &amp; Bridge Fund</t>
  </si>
  <si>
    <t>YTD Collections as of 7/15/11</t>
  </si>
  <si>
    <t>YTD Expenditures as of 7/15/11</t>
  </si>
  <si>
    <t>2010 3rd Quarter  Collections</t>
  </si>
  <si>
    <t>2009  3rd Quarter Collections</t>
  </si>
  <si>
    <t>2008 3rd Quarter Collections</t>
  </si>
  <si>
    <t>2010 3rd Quarter Actuals</t>
  </si>
  <si>
    <t>2009 3rd Quarter Actuals</t>
  </si>
  <si>
    <t>2008 3rd Quarter Actuals</t>
  </si>
  <si>
    <t>FY 2011 4th Quarter Report – Collin County Road &amp; Bridge Fund</t>
  </si>
  <si>
    <t>YTD Collections as of 10/15/11</t>
  </si>
  <si>
    <t>100% of Budget Variance</t>
  </si>
  <si>
    <t>2010 4th Quarter  Collections</t>
  </si>
  <si>
    <t>2009 4th Quarter Collections</t>
  </si>
  <si>
    <t>2008 4th Quarter Collections</t>
  </si>
  <si>
    <t>YTD Expenditures as of 10/15/11</t>
  </si>
  <si>
    <t>2010 4th Quarter Actuals</t>
  </si>
  <si>
    <t>2009 4th Quarter Actuals</t>
  </si>
  <si>
    <t>2008 4th Quarter Actuals</t>
  </si>
  <si>
    <t>FY 2012 1st Quarter Report – Collin County Road &amp; Bridge Fund</t>
  </si>
  <si>
    <t>2010 Actual</t>
  </si>
  <si>
    <t>2011 Actual</t>
  </si>
  <si>
    <t>2011 1st Qtr Collections</t>
  </si>
  <si>
    <t>FY 2012Adopted</t>
  </si>
  <si>
    <t>2012 1st Qtr Collections</t>
  </si>
  <si>
    <t>FY 2012 Adopted</t>
  </si>
  <si>
    <t>YTD Collections as of 1/15/12</t>
  </si>
  <si>
    <t>2012 Remaining</t>
  </si>
  <si>
    <t>2011 1st Qtr Actuals</t>
  </si>
  <si>
    <t>2012 1st Qtr Actuals</t>
  </si>
  <si>
    <t>YTD Expenditures as of 1/15/12</t>
  </si>
  <si>
    <t>FY 2012 2nd Quarter Report – Collin County Road &amp; Bridge Fund</t>
  </si>
  <si>
    <t>YTD Collections as of 4/15/12</t>
  </si>
  <si>
    <t>YTD Expenditures as of 4/15/12</t>
  </si>
  <si>
    <t>2012 2nd Qtr Actuals</t>
  </si>
  <si>
    <t>2011 2nd Qtr Actuals</t>
  </si>
  <si>
    <t>2008 2nd  Quarter Actuals</t>
  </si>
  <si>
    <t>`</t>
  </si>
  <si>
    <t>2012 2nd Qtr Collections</t>
  </si>
  <si>
    <t>2011 2nd Qtr Collections</t>
  </si>
  <si>
    <t>2009 2nd Quarter Collections</t>
  </si>
  <si>
    <t>FY 2012 3rd Quarter Report – Collin County Road &amp; Bridge Fund</t>
  </si>
  <si>
    <t>YTD Collections as of 7/15/12</t>
  </si>
  <si>
    <t>YTD Expenditures as of 7/15/12</t>
  </si>
  <si>
    <t>2012 3rd Qtr Collections</t>
  </si>
  <si>
    <t>2009 3rd Quarter Collections</t>
  </si>
  <si>
    <t>2012 3rd Qtr Actuals</t>
  </si>
  <si>
    <t>2011 3rd Qtr Actuals</t>
  </si>
  <si>
    <t>2008 3rd  Quarter Actuals</t>
  </si>
  <si>
    <t>2011 3rd Qtr Collections</t>
  </si>
  <si>
    <t>FY 2012 4th Quarter Report – Collin County Road &amp; Bridge Fund</t>
  </si>
  <si>
    <t>YTD Collections as of 10/08/12</t>
  </si>
  <si>
    <t xml:space="preserve"> Budget Variance</t>
  </si>
  <si>
    <t>YTD Expenditures as of 10/08/12</t>
  </si>
  <si>
    <t>2012 4th Qtr Collections</t>
  </si>
  <si>
    <t>2011 4th Qtr Collections</t>
  </si>
  <si>
    <t>2012 4th Qtr Actuals</t>
  </si>
  <si>
    <t>2011 4th Qtr Actuals</t>
  </si>
  <si>
    <t>2008 4th  Quarter Actuals</t>
  </si>
  <si>
    <t>FY 2013 1st Quarter Report – Collin County Road &amp; Bridge Fund</t>
  </si>
  <si>
    <t>FY 2013 Adopted</t>
  </si>
  <si>
    <t>YTD Collections as of 1/15/13</t>
  </si>
  <si>
    <t>2013 1st Qtr Actuals</t>
  </si>
  <si>
    <t>2013 1st Qtr Collections</t>
  </si>
  <si>
    <t xml:space="preserve"> Variance to 25% of Budget</t>
  </si>
  <si>
    <t>YTD Expenditures as of 1/15/13</t>
  </si>
  <si>
    <r>
      <t>To:</t>
    </r>
    <r>
      <rPr>
        <sz val="12"/>
        <rFont val="Calibri"/>
        <family val="2"/>
        <scheme val="minor"/>
      </rPr>
      <t xml:space="preserve"> </t>
    </r>
  </si>
  <si>
    <r>
      <t>From:</t>
    </r>
    <r>
      <rPr>
        <sz val="12"/>
        <rFont val="Calibri"/>
        <family val="2"/>
        <scheme val="minor"/>
      </rPr>
      <t xml:space="preserve"> </t>
    </r>
  </si>
  <si>
    <r>
      <t>Date:</t>
    </r>
    <r>
      <rPr>
        <sz val="12"/>
        <rFont val="Calibri"/>
        <family val="2"/>
        <scheme val="minor"/>
      </rPr>
      <t xml:space="preserve"> </t>
    </r>
  </si>
  <si>
    <r>
      <t>Re:</t>
    </r>
    <r>
      <rPr>
        <sz val="12"/>
        <rFont val="Calibri"/>
        <family val="2"/>
        <scheme val="minor"/>
      </rPr>
      <t xml:space="preserve"> </t>
    </r>
  </si>
  <si>
    <t>FY 2013 2nd Quarter Report – Collin County Road &amp; Bridge Fund</t>
  </si>
  <si>
    <t>YTD Collections as of 4/15/13</t>
  </si>
  <si>
    <t xml:space="preserve"> Variance to 50% of Budget</t>
  </si>
  <si>
    <t>2013 2nd Qtr Collections</t>
  </si>
  <si>
    <t>Misc./Proceeds F/A Disp</t>
  </si>
  <si>
    <t>YTD Expenditures as of 4/15/13</t>
  </si>
  <si>
    <t>2013 2nd Qtr Actuals</t>
  </si>
  <si>
    <t>FY 2013 3rd Quarter Report – Collin County Road &amp; Bridge Fund</t>
  </si>
  <si>
    <t>YTD Collections as of 7/15/13</t>
  </si>
  <si>
    <t xml:space="preserve"> Variance to 75% of Budget</t>
  </si>
  <si>
    <t>2013 3rd Qtr Collections</t>
  </si>
  <si>
    <t>2013 3rd Qtr Actuals</t>
  </si>
  <si>
    <t>YTD Expenditures as of 7/15/13</t>
  </si>
  <si>
    <t>FY 2013 4th Quarter Report – Collin County Road &amp; Bridge Fund</t>
  </si>
  <si>
    <t>YTD Collections as of 10/7/13</t>
  </si>
  <si>
    <t xml:space="preserve"> Variance to 100% of Budget</t>
  </si>
  <si>
    <t>2013 4th Qtr Collections</t>
  </si>
  <si>
    <t>YTD Expenditures as of 10/7/13</t>
  </si>
  <si>
    <t>2013 4th Qtr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</si>
</sst>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8" formatCode="&quot;$&quot;#,##0.00_);[Red]\(&quot;$&quot;#,##0.00\)"/>
    <numFmt numFmtId="164" formatCode="mmmm\ d\,\ yyyy"/>
    <numFmt numFmtId="165" formatCode="0;\-0"/>
    <numFmt numFmtId="166" formatCode="_(* #,##0_);_(* \(#,##0\);_(* &quot;-&quot;??_);_(@_)"/>
    <numFmt numFmtId="167" formatCode=";;;@"/>
    <numFmt numFmtId="168" formatCode="&quot;$&quot;#,##0.00_);\(&quot;$&quot;#,##0.00\);&quot;$&quot;0.00_)"/>
    <numFmt numFmtId="169" formatCode="0.0%"/>
  </numFmts>
  <fonts count="23">
    <font>
      <sz val="12"/>
      <name val="Times New Roman"/>
    </font>
    <font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8"/>
      <name val="Franklin Gothic Demi"/>
      <family val="2"/>
    </font>
    <font>
      <sz val="11"/>
      <name val="Franklin Gothic Book"/>
      <family val="2"/>
    </font>
    <font>
      <b/>
      <sz val="10"/>
      <color indexed="9"/>
      <name val="Arial"/>
      <family val="2"/>
    </font>
    <font>
      <sz val="10"/>
      <name val="Arial (W1)"/>
      <family val="2"/>
    </font>
    <font>
      <b/>
      <sz val="10"/>
      <color indexed="9"/>
      <name val="Arial (W1)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b/>
      <sz val="10"/>
      <name val="Arial (W1)"/>
      <family val="2"/>
    </font>
    <font>
      <b/>
      <sz val="10"/>
      <color indexed="8"/>
      <name val="Arial"/>
      <family val="2"/>
    </font>
    <font>
      <b/>
      <sz val="12"/>
      <name val="Times New Roman"/>
      <family val="1"/>
    </font>
    <font>
      <b/>
      <sz val="12"/>
      <color indexed="9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>
      <alignment wrapText="1"/>
    </xf>
    <xf numFmtId="0" fontId="12" fillId="0" borderId="0">
      <alignment wrapText="1"/>
    </xf>
    <xf numFmtId="0" fontId="1" fillId="0" borderId="0"/>
    <xf numFmtId="0" fontId="12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9" fontId="7" fillId="0" borderId="0" xfId="7" applyFont="1"/>
    <xf numFmtId="0" fontId="7" fillId="0" borderId="0" xfId="5" applyFont="1"/>
    <xf numFmtId="0" fontId="5" fillId="0" borderId="0" xfId="5" applyFont="1" applyAlignment="1">
      <alignment horizontal="right"/>
    </xf>
    <xf numFmtId="0" fontId="7" fillId="0" borderId="1" xfId="5" applyFont="1" applyBorder="1"/>
    <xf numFmtId="0" fontId="5" fillId="0" borderId="1" xfId="5" applyFont="1" applyBorder="1" applyAlignment="1">
      <alignment horizontal="right"/>
    </xf>
    <xf numFmtId="0" fontId="9" fillId="0" borderId="0" xfId="5" applyFont="1"/>
    <xf numFmtId="0" fontId="2" fillId="0" borderId="0" xfId="5" applyFont="1"/>
    <xf numFmtId="164" fontId="2" fillId="0" borderId="0" xfId="5" applyNumberFormat="1" applyFont="1" applyAlignment="1">
      <alignment horizontal="left"/>
    </xf>
    <xf numFmtId="0" fontId="8" fillId="2" borderId="2" xfId="5" applyFont="1" applyFill="1" applyBorder="1" applyAlignment="1">
      <alignment horizontal="center" wrapText="1"/>
    </xf>
    <xf numFmtId="9" fontId="7" fillId="0" borderId="0" xfId="5" applyNumberFormat="1" applyFont="1"/>
    <xf numFmtId="6" fontId="7" fillId="0" borderId="3" xfId="5" applyNumberFormat="1" applyFont="1" applyBorder="1" applyAlignment="1">
      <alignment horizontal="right" vertical="top" wrapText="1"/>
    </xf>
    <xf numFmtId="10" fontId="7" fillId="0" borderId="3" xfId="5" applyNumberFormat="1" applyFont="1" applyBorder="1" applyAlignment="1">
      <alignment horizontal="right" vertical="top" wrapText="1"/>
    </xf>
    <xf numFmtId="8" fontId="7" fillId="0" borderId="4" xfId="5" applyNumberFormat="1" applyFont="1" applyBorder="1"/>
    <xf numFmtId="8" fontId="7" fillId="0" borderId="0" xfId="5" applyNumberFormat="1" applyFont="1"/>
    <xf numFmtId="6" fontId="7" fillId="0" borderId="0" xfId="5" applyNumberFormat="1" applyFont="1"/>
    <xf numFmtId="3" fontId="7" fillId="0" borderId="3" xfId="5" applyNumberFormat="1" applyFont="1" applyBorder="1" applyAlignment="1">
      <alignment horizontal="right" vertical="top" wrapText="1"/>
    </xf>
    <xf numFmtId="6" fontId="7" fillId="0" borderId="4" xfId="5" applyNumberFormat="1" applyFont="1" applyBorder="1" applyAlignment="1">
      <alignment horizontal="right" vertical="top" wrapText="1"/>
    </xf>
    <xf numFmtId="0" fontId="3" fillId="0" borderId="0" xfId="5" applyFont="1" applyBorder="1" applyAlignment="1">
      <alignment horizontal="center"/>
    </xf>
    <xf numFmtId="0" fontId="6" fillId="2" borderId="4" xfId="5" applyFont="1" applyFill="1" applyBorder="1" applyAlignment="1">
      <alignment horizontal="center" wrapText="1"/>
    </xf>
    <xf numFmtId="6" fontId="2" fillId="0" borderId="3" xfId="5" applyNumberFormat="1" applyFont="1" applyBorder="1" applyAlignment="1">
      <alignment horizontal="right" vertical="top" wrapText="1"/>
    </xf>
    <xf numFmtId="0" fontId="14" fillId="0" borderId="0" xfId="6" applyFont="1" applyFill="1" applyBorder="1" applyAlignment="1">
      <alignment horizontal="left" vertical="top"/>
    </xf>
    <xf numFmtId="38" fontId="7" fillId="0" borderId="3" xfId="5" applyNumberFormat="1" applyFont="1" applyBorder="1" applyAlignment="1">
      <alignment horizontal="right" vertical="top" wrapText="1"/>
    </xf>
    <xf numFmtId="8" fontId="7" fillId="0" borderId="0" xfId="5" applyNumberFormat="1" applyFont="1" applyBorder="1"/>
    <xf numFmtId="6" fontId="7" fillId="0" borderId="0" xfId="5" applyNumberFormat="1" applyFont="1" applyBorder="1"/>
    <xf numFmtId="3" fontId="2" fillId="0" borderId="0" xfId="5" applyNumberFormat="1" applyFont="1" applyBorder="1" applyAlignment="1">
      <alignment horizontal="right" vertical="top" wrapText="1"/>
    </xf>
    <xf numFmtId="3" fontId="7" fillId="0" borderId="0" xfId="5" applyNumberFormat="1" applyFont="1" applyBorder="1" applyAlignment="1">
      <alignment horizontal="right" vertical="top" wrapText="1"/>
    </xf>
    <xf numFmtId="38" fontId="7" fillId="0" borderId="0" xfId="5" applyNumberFormat="1" applyFont="1" applyBorder="1" applyAlignment="1">
      <alignment horizontal="right" vertical="top" wrapText="1"/>
    </xf>
    <xf numFmtId="166" fontId="7" fillId="0" borderId="3" xfId="5" applyNumberFormat="1" applyFont="1" applyBorder="1" applyAlignment="1">
      <alignment horizontal="right" vertical="top" wrapText="1"/>
    </xf>
    <xf numFmtId="6" fontId="7" fillId="0" borderId="4" xfId="5" applyNumberFormat="1" applyFont="1" applyBorder="1"/>
    <xf numFmtId="0" fontId="12" fillId="3" borderId="0" xfId="3" applyFill="1">
      <alignment wrapText="1"/>
    </xf>
    <xf numFmtId="0" fontId="12" fillId="3" borderId="5" xfId="3" applyFill="1" applyBorder="1">
      <alignment wrapText="1"/>
    </xf>
    <xf numFmtId="0" fontId="12" fillId="3" borderId="6" xfId="3" applyFill="1" applyBorder="1">
      <alignment wrapText="1"/>
    </xf>
    <xf numFmtId="168" fontId="11" fillId="3" borderId="6" xfId="3" applyNumberFormat="1" applyFont="1" applyFill="1" applyBorder="1" applyAlignment="1">
      <alignment vertical="top"/>
    </xf>
    <xf numFmtId="168" fontId="11" fillId="3" borderId="2" xfId="3" applyNumberFormat="1" applyFont="1" applyFill="1" applyBorder="1" applyAlignment="1">
      <alignment vertical="top"/>
    </xf>
    <xf numFmtId="168" fontId="11" fillId="3" borderId="0" xfId="3" applyNumberFormat="1" applyFont="1" applyFill="1" applyBorder="1" applyAlignment="1">
      <alignment vertical="top"/>
    </xf>
    <xf numFmtId="0" fontId="12" fillId="4" borderId="0" xfId="4" applyFill="1">
      <alignment wrapText="1"/>
    </xf>
    <xf numFmtId="0" fontId="12" fillId="0" borderId="0" xfId="4">
      <alignment wrapText="1"/>
    </xf>
    <xf numFmtId="165" fontId="11" fillId="4" borderId="7" xfId="4" applyNumberFormat="1" applyFont="1" applyFill="1" applyBorder="1" applyAlignment="1">
      <alignment horizontal="right" vertical="top"/>
    </xf>
    <xf numFmtId="167" fontId="11" fillId="4" borderId="7" xfId="4" applyNumberFormat="1" applyFont="1" applyFill="1" applyBorder="1" applyAlignment="1">
      <alignment horizontal="left" vertical="top"/>
    </xf>
    <xf numFmtId="165" fontId="11" fillId="4" borderId="8" xfId="4" applyNumberFormat="1" applyFont="1" applyFill="1" applyBorder="1" applyAlignment="1">
      <alignment horizontal="right" vertical="top"/>
    </xf>
    <xf numFmtId="167" fontId="11" fillId="4" borderId="8" xfId="4" applyNumberFormat="1" applyFont="1" applyFill="1" applyBorder="1" applyAlignment="1">
      <alignment horizontal="left" vertical="top"/>
    </xf>
    <xf numFmtId="0" fontId="12" fillId="4" borderId="9" xfId="4" applyFill="1" applyBorder="1">
      <alignment wrapText="1"/>
    </xf>
    <xf numFmtId="168" fontId="11" fillId="4" borderId="0" xfId="4" applyNumberFormat="1" applyFont="1" applyFill="1" applyAlignment="1">
      <alignment horizontal="right" vertical="top"/>
    </xf>
    <xf numFmtId="0" fontId="12" fillId="4" borderId="10" xfId="4" applyFill="1" applyBorder="1">
      <alignment wrapText="1"/>
    </xf>
    <xf numFmtId="0" fontId="12" fillId="4" borderId="11" xfId="4" applyFill="1" applyBorder="1">
      <alignment wrapText="1"/>
    </xf>
    <xf numFmtId="0" fontId="12" fillId="4" borderId="12" xfId="4" applyFill="1" applyBorder="1">
      <alignment wrapText="1"/>
    </xf>
    <xf numFmtId="0" fontId="13" fillId="4" borderId="7" xfId="4" applyFont="1" applyFill="1" applyBorder="1" applyAlignment="1">
      <alignment horizontal="center" vertical="top" wrapText="1"/>
    </xf>
    <xf numFmtId="0" fontId="13" fillId="4" borderId="13" xfId="4" applyFont="1" applyFill="1" applyBorder="1" applyAlignment="1">
      <alignment horizontal="center" vertical="top" wrapText="1"/>
    </xf>
    <xf numFmtId="0" fontId="13" fillId="4" borderId="14" xfId="4" applyFont="1" applyFill="1" applyBorder="1" applyAlignment="1">
      <alignment horizontal="center" vertical="top" wrapText="1"/>
    </xf>
    <xf numFmtId="167" fontId="11" fillId="0" borderId="0" xfId="4" applyNumberFormat="1" applyFont="1" applyFill="1" applyBorder="1" applyAlignment="1">
      <alignment horizontal="left" vertical="top"/>
    </xf>
    <xf numFmtId="6" fontId="7" fillId="0" borderId="15" xfId="5" applyNumberFormat="1" applyFont="1" applyBorder="1" applyAlignment="1">
      <alignment horizontal="right" vertical="top" wrapText="1"/>
    </xf>
    <xf numFmtId="3" fontId="7" fillId="0" borderId="16" xfId="5" applyNumberFormat="1" applyFont="1" applyBorder="1" applyAlignment="1">
      <alignment horizontal="right" vertical="top" wrapText="1"/>
    </xf>
    <xf numFmtId="166" fontId="7" fillId="0" borderId="16" xfId="5" applyNumberFormat="1" applyFont="1" applyBorder="1" applyAlignment="1">
      <alignment horizontal="right" vertical="top" wrapText="1"/>
    </xf>
    <xf numFmtId="0" fontId="12" fillId="0" borderId="0" xfId="2">
      <alignment wrapText="1"/>
    </xf>
    <xf numFmtId="165" fontId="11" fillId="4" borderId="7" xfId="2" applyNumberFormat="1" applyFont="1" applyFill="1" applyBorder="1" applyAlignment="1">
      <alignment horizontal="right" vertical="top"/>
    </xf>
    <xf numFmtId="167" fontId="11" fillId="4" borderId="7" xfId="2" applyNumberFormat="1" applyFont="1" applyFill="1" applyBorder="1" applyAlignment="1">
      <alignment horizontal="left" vertical="top"/>
    </xf>
    <xf numFmtId="165" fontId="11" fillId="4" borderId="8" xfId="2" applyNumberFormat="1" applyFont="1" applyFill="1" applyBorder="1" applyAlignment="1">
      <alignment horizontal="right" vertical="top"/>
    </xf>
    <xf numFmtId="167" fontId="11" fillId="4" borderId="8" xfId="2" applyNumberFormat="1" applyFont="1" applyFill="1" applyBorder="1" applyAlignment="1">
      <alignment horizontal="left" vertical="top"/>
    </xf>
    <xf numFmtId="0" fontId="12" fillId="4" borderId="17" xfId="2" applyFill="1" applyBorder="1">
      <alignment wrapText="1"/>
    </xf>
    <xf numFmtId="0" fontId="12" fillId="4" borderId="18" xfId="2" applyFill="1" applyBorder="1">
      <alignment wrapText="1"/>
    </xf>
    <xf numFmtId="0" fontId="12" fillId="4" borderId="0" xfId="2" applyFill="1">
      <alignment wrapText="1"/>
    </xf>
    <xf numFmtId="168" fontId="11" fillId="4" borderId="0" xfId="2" applyNumberFormat="1" applyFont="1" applyFill="1" applyAlignment="1">
      <alignment horizontal="right" vertical="top"/>
    </xf>
    <xf numFmtId="168" fontId="12" fillId="0" borderId="0" xfId="2" applyNumberFormat="1">
      <alignment wrapText="1"/>
    </xf>
    <xf numFmtId="0" fontId="7" fillId="0" borderId="1" xfId="5" applyFont="1" applyBorder="1" applyAlignment="1"/>
    <xf numFmtId="0" fontId="2" fillId="0" borderId="0" xfId="5" applyFont="1" applyBorder="1" applyAlignment="1">
      <alignment vertical="top" wrapText="1"/>
    </xf>
    <xf numFmtId="0" fontId="12" fillId="0" borderId="0" xfId="1">
      <alignment wrapText="1"/>
    </xf>
    <xf numFmtId="165" fontId="11" fillId="4" borderId="7" xfId="1" applyNumberFormat="1" applyFont="1" applyFill="1" applyBorder="1" applyAlignment="1">
      <alignment horizontal="right" vertical="top"/>
    </xf>
    <xf numFmtId="167" fontId="11" fillId="4" borderId="7" xfId="1" applyNumberFormat="1" applyFont="1" applyFill="1" applyBorder="1" applyAlignment="1">
      <alignment horizontal="left" vertical="top"/>
    </xf>
    <xf numFmtId="165" fontId="11" fillId="4" borderId="8" xfId="1" applyNumberFormat="1" applyFont="1" applyFill="1" applyBorder="1" applyAlignment="1">
      <alignment horizontal="right" vertical="top"/>
    </xf>
    <xf numFmtId="167" fontId="11" fillId="4" borderId="8" xfId="1" applyNumberFormat="1" applyFont="1" applyFill="1" applyBorder="1" applyAlignment="1">
      <alignment horizontal="left" vertical="top"/>
    </xf>
    <xf numFmtId="0" fontId="12" fillId="4" borderId="17" xfId="1" applyFill="1" applyBorder="1">
      <alignment wrapText="1"/>
    </xf>
    <xf numFmtId="0" fontId="12" fillId="4" borderId="18" xfId="1" applyFill="1" applyBorder="1">
      <alignment wrapText="1"/>
    </xf>
    <xf numFmtId="0" fontId="12" fillId="4" borderId="0" xfId="1" applyFill="1">
      <alignment wrapText="1"/>
    </xf>
    <xf numFmtId="168" fontId="11" fillId="4" borderId="0" xfId="1" applyNumberFormat="1" applyFont="1" applyFill="1" applyBorder="1" applyAlignment="1">
      <alignment vertical="top"/>
    </xf>
    <xf numFmtId="0" fontId="8" fillId="2" borderId="19" xfId="5" applyFont="1" applyFill="1" applyBorder="1" applyAlignment="1">
      <alignment horizontal="center" wrapText="1"/>
    </xf>
    <xf numFmtId="0" fontId="15" fillId="5" borderId="19" xfId="5" applyFont="1" applyFill="1" applyBorder="1" applyAlignment="1">
      <alignment horizontal="center" wrapText="1"/>
    </xf>
    <xf numFmtId="10" fontId="7" fillId="0" borderId="20" xfId="5" applyNumberFormat="1" applyFont="1" applyBorder="1" applyAlignment="1">
      <alignment horizontal="right" vertical="top" wrapText="1"/>
    </xf>
    <xf numFmtId="10" fontId="7" fillId="0" borderId="21" xfId="5" applyNumberFormat="1" applyFont="1" applyBorder="1" applyAlignment="1">
      <alignment horizontal="right" vertical="top" wrapText="1"/>
    </xf>
    <xf numFmtId="0" fontId="8" fillId="2" borderId="22" xfId="5" applyFont="1" applyFill="1" applyBorder="1" applyAlignment="1">
      <alignment horizontal="center" wrapText="1"/>
    </xf>
    <xf numFmtId="10" fontId="7" fillId="0" borderId="4" xfId="5" applyNumberFormat="1" applyFont="1" applyBorder="1" applyAlignment="1">
      <alignment horizontal="right" vertical="top" wrapText="1"/>
    </xf>
    <xf numFmtId="3" fontId="2" fillId="0" borderId="4" xfId="5" applyNumberFormat="1" applyFont="1" applyBorder="1" applyAlignment="1">
      <alignment horizontal="right" vertical="top" wrapText="1"/>
    </xf>
    <xf numFmtId="6" fontId="7" fillId="0" borderId="21" xfId="5" applyNumberFormat="1" applyFont="1" applyBorder="1"/>
    <xf numFmtId="3" fontId="2" fillId="0" borderId="20" xfId="5" applyNumberFormat="1" applyFont="1" applyBorder="1" applyAlignment="1">
      <alignment horizontal="right" vertical="top" wrapText="1"/>
    </xf>
    <xf numFmtId="8" fontId="7" fillId="0" borderId="20" xfId="5" applyNumberFormat="1" applyFont="1" applyBorder="1"/>
    <xf numFmtId="168" fontId="11" fillId="4" borderId="13" xfId="0" applyNumberFormat="1" applyFont="1" applyFill="1" applyBorder="1" applyAlignment="1">
      <alignment vertical="top"/>
    </xf>
    <xf numFmtId="168" fontId="11" fillId="4" borderId="14" xfId="0" applyNumberFormat="1" applyFont="1" applyFill="1" applyBorder="1" applyAlignment="1">
      <alignment vertical="top"/>
    </xf>
    <xf numFmtId="168" fontId="11" fillId="4" borderId="23" xfId="4" applyNumberFormat="1" applyFont="1" applyFill="1" applyBorder="1" applyAlignment="1">
      <alignment horizontal="right" vertical="top"/>
    </xf>
    <xf numFmtId="0" fontId="13" fillId="4" borderId="7" xfId="0" applyFont="1" applyFill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 wrapText="1"/>
    </xf>
    <xf numFmtId="0" fontId="13" fillId="4" borderId="14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167" fontId="11" fillId="4" borderId="8" xfId="0" applyNumberFormat="1" applyFont="1" applyFill="1" applyBorder="1" applyAlignment="1">
      <alignment horizontal="left" vertical="top"/>
    </xf>
    <xf numFmtId="167" fontId="11" fillId="4" borderId="13" xfId="0" applyNumberFormat="1" applyFont="1" applyFill="1" applyBorder="1" applyAlignment="1">
      <alignment vertical="top"/>
    </xf>
    <xf numFmtId="165" fontId="11" fillId="4" borderId="13" xfId="0" applyNumberFormat="1" applyFont="1" applyFill="1" applyBorder="1" applyAlignment="1">
      <alignment vertical="top"/>
    </xf>
    <xf numFmtId="0" fontId="0" fillId="6" borderId="17" xfId="0" applyFill="1" applyBorder="1"/>
    <xf numFmtId="0" fontId="0" fillId="6" borderId="18" xfId="0" applyFill="1" applyBorder="1"/>
    <xf numFmtId="168" fontId="11" fillId="6" borderId="0" xfId="0" applyNumberFormat="1" applyFont="1" applyFill="1" applyAlignment="1">
      <alignment vertical="top"/>
    </xf>
    <xf numFmtId="0" fontId="0" fillId="6" borderId="0" xfId="0" applyFill="1"/>
    <xf numFmtId="167" fontId="11" fillId="4" borderId="7" xfId="0" applyNumberFormat="1" applyFont="1" applyFill="1" applyBorder="1" applyAlignment="1">
      <alignment horizontal="left" vertical="top"/>
    </xf>
    <xf numFmtId="0" fontId="0" fillId="4" borderId="24" xfId="0" applyFill="1" applyBorder="1"/>
    <xf numFmtId="168" fontId="11" fillId="6" borderId="25" xfId="0" applyNumberFormat="1" applyFont="1" applyFill="1" applyBorder="1" applyAlignment="1">
      <alignment vertical="top"/>
    </xf>
    <xf numFmtId="0" fontId="0" fillId="4" borderId="0" xfId="0" applyFill="1"/>
    <xf numFmtId="168" fontId="11" fillId="4" borderId="4" xfId="0" applyNumberFormat="1" applyFont="1" applyFill="1" applyBorder="1" applyAlignment="1">
      <alignment vertical="top"/>
    </xf>
    <xf numFmtId="168" fontId="11" fillId="4" borderId="26" xfId="0" applyNumberFormat="1" applyFont="1" applyFill="1" applyBorder="1" applyAlignment="1">
      <alignment vertical="top"/>
    </xf>
    <xf numFmtId="168" fontId="11" fillId="6" borderId="0" xfId="0" applyNumberFormat="1" applyFont="1" applyFill="1" applyBorder="1" applyAlignment="1">
      <alignment vertical="top"/>
    </xf>
    <xf numFmtId="0" fontId="0" fillId="3" borderId="17" xfId="0" applyFill="1" applyBorder="1"/>
    <xf numFmtId="0" fontId="0" fillId="3" borderId="18" xfId="0" applyFill="1" applyBorder="1"/>
    <xf numFmtId="168" fontId="11" fillId="3" borderId="0" xfId="0" applyNumberFormat="1" applyFont="1" applyFill="1" applyBorder="1" applyAlignment="1">
      <alignment vertical="top"/>
    </xf>
    <xf numFmtId="0" fontId="0" fillId="3" borderId="0" xfId="0" applyFill="1"/>
    <xf numFmtId="0" fontId="0" fillId="4" borderId="9" xfId="0" applyFill="1" applyBorder="1"/>
    <xf numFmtId="0" fontId="11" fillId="4" borderId="0" xfId="0" applyFont="1" applyFill="1" applyAlignment="1">
      <alignment vertical="top" wrapText="1"/>
    </xf>
    <xf numFmtId="0" fontId="16" fillId="4" borderId="7" xfId="0" applyFont="1" applyFill="1" applyBorder="1" applyAlignment="1">
      <alignment horizontal="center" vertical="top" wrapText="1"/>
    </xf>
    <xf numFmtId="0" fontId="16" fillId="4" borderId="13" xfId="0" applyFont="1" applyFill="1" applyBorder="1" applyAlignment="1">
      <alignment horizontal="center" vertical="top" wrapText="1"/>
    </xf>
    <xf numFmtId="0" fontId="16" fillId="4" borderId="17" xfId="0" applyFont="1" applyFill="1" applyBorder="1" applyAlignment="1">
      <alignment horizontal="center" vertical="top" wrapText="1"/>
    </xf>
    <xf numFmtId="0" fontId="16" fillId="4" borderId="14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168" fontId="11" fillId="4" borderId="27" xfId="0" applyNumberFormat="1" applyFont="1" applyFill="1" applyBorder="1" applyAlignment="1">
      <alignment vertical="top"/>
    </xf>
    <xf numFmtId="168" fontId="11" fillId="6" borderId="22" xfId="0" applyNumberFormat="1" applyFont="1" applyFill="1" applyBorder="1" applyAlignment="1">
      <alignment vertical="top"/>
    </xf>
    <xf numFmtId="168" fontId="11" fillId="6" borderId="28" xfId="0" applyNumberFormat="1" applyFont="1" applyFill="1" applyBorder="1" applyAlignment="1">
      <alignment vertical="top"/>
    </xf>
    <xf numFmtId="0" fontId="0" fillId="3" borderId="25" xfId="0" applyFill="1" applyBorder="1"/>
    <xf numFmtId="168" fontId="11" fillId="3" borderId="1" xfId="0" applyNumberFormat="1" applyFont="1" applyFill="1" applyBorder="1" applyAlignment="1">
      <alignment vertical="top"/>
    </xf>
    <xf numFmtId="168" fontId="11" fillId="3" borderId="2" xfId="0" applyNumberFormat="1" applyFont="1" applyFill="1" applyBorder="1" applyAlignment="1">
      <alignment vertical="top"/>
    </xf>
    <xf numFmtId="0" fontId="13" fillId="4" borderId="17" xfId="0" applyFont="1" applyFill="1" applyBorder="1" applyAlignment="1">
      <alignment horizontal="center" vertical="top" wrapText="1"/>
    </xf>
    <xf numFmtId="0" fontId="0" fillId="3" borderId="29" xfId="0" applyFill="1" applyBorder="1"/>
    <xf numFmtId="38" fontId="7" fillId="7" borderId="0" xfId="5" applyNumberFormat="1" applyFont="1" applyFill="1" applyBorder="1" applyAlignment="1">
      <alignment horizontal="right" vertical="top" wrapText="1"/>
    </xf>
    <xf numFmtId="10" fontId="7" fillId="0" borderId="15" xfId="5" applyNumberFormat="1" applyFont="1" applyBorder="1" applyAlignment="1">
      <alignment horizontal="right" vertical="top" wrapText="1"/>
    </xf>
    <xf numFmtId="10" fontId="7" fillId="0" borderId="16" xfId="5" applyNumberFormat="1" applyFont="1" applyBorder="1" applyAlignment="1">
      <alignment horizontal="right" vertical="top" wrapText="1"/>
    </xf>
    <xf numFmtId="6" fontId="7" fillId="0" borderId="30" xfId="5" applyNumberFormat="1" applyFont="1" applyBorder="1" applyAlignment="1">
      <alignment horizontal="right" vertical="top" wrapText="1"/>
    </xf>
    <xf numFmtId="3" fontId="7" fillId="0" borderId="4" xfId="5" applyNumberFormat="1" applyFont="1" applyBorder="1"/>
    <xf numFmtId="3" fontId="7" fillId="0" borderId="20" xfId="5" applyNumberFormat="1" applyFont="1" applyBorder="1"/>
    <xf numFmtId="9" fontId="7" fillId="0" borderId="4" xfId="7" applyFont="1" applyBorder="1"/>
    <xf numFmtId="9" fontId="7" fillId="0" borderId="21" xfId="7" applyFont="1" applyBorder="1"/>
    <xf numFmtId="9" fontId="7" fillId="0" borderId="20" xfId="7" applyFont="1" applyBorder="1"/>
    <xf numFmtId="0" fontId="2" fillId="0" borderId="0" xfId="5" applyFont="1" applyBorder="1" applyAlignment="1">
      <alignment horizontal="right" vertical="top" wrapText="1"/>
    </xf>
    <xf numFmtId="6" fontId="2" fillId="0" borderId="0" xfId="5" applyNumberFormat="1" applyFont="1" applyBorder="1" applyAlignment="1">
      <alignment horizontal="right" vertical="top" wrapText="1"/>
    </xf>
    <xf numFmtId="10" fontId="7" fillId="0" borderId="0" xfId="5" applyNumberFormat="1" applyFont="1" applyBorder="1" applyAlignment="1">
      <alignment horizontal="right" vertical="top" wrapText="1"/>
    </xf>
    <xf numFmtId="0" fontId="7" fillId="0" borderId="0" xfId="5" applyFont="1" applyBorder="1"/>
    <xf numFmtId="9" fontId="7" fillId="0" borderId="0" xfId="7" applyFont="1" applyBorder="1"/>
    <xf numFmtId="10" fontId="7" fillId="0" borderId="3" xfId="5" applyNumberFormat="1" applyFont="1" applyBorder="1" applyAlignment="1">
      <alignment horizontal="center" vertical="top" wrapText="1"/>
    </xf>
    <xf numFmtId="0" fontId="7" fillId="0" borderId="3" xfId="5" applyNumberFormat="1" applyFont="1" applyBorder="1" applyAlignment="1">
      <alignment horizontal="right" vertical="top" wrapText="1"/>
    </xf>
    <xf numFmtId="10" fontId="7" fillId="0" borderId="3" xfId="7" applyNumberFormat="1" applyFont="1" applyBorder="1" applyAlignment="1">
      <alignment horizontal="right" vertical="top" wrapText="1"/>
    </xf>
    <xf numFmtId="10" fontId="7" fillId="0" borderId="20" xfId="7" applyNumberFormat="1" applyFont="1" applyBorder="1" applyAlignment="1">
      <alignment horizontal="right" vertical="top" wrapText="1"/>
    </xf>
    <xf numFmtId="10" fontId="7" fillId="0" borderId="21" xfId="7" applyNumberFormat="1" applyFont="1" applyBorder="1" applyAlignment="1">
      <alignment horizontal="right" vertical="top" wrapText="1"/>
    </xf>
    <xf numFmtId="38" fontId="7" fillId="0" borderId="4" xfId="5" applyNumberFormat="1" applyFont="1" applyBorder="1"/>
    <xf numFmtId="0" fontId="18" fillId="2" borderId="2" xfId="5" applyFont="1" applyFill="1" applyBorder="1" applyAlignment="1">
      <alignment horizontal="center" wrapText="1"/>
    </xf>
    <xf numFmtId="0" fontId="20" fillId="0" borderId="0" xfId="5" applyFont="1" applyBorder="1" applyAlignment="1">
      <alignment horizontal="center"/>
    </xf>
    <xf numFmtId="0" fontId="20" fillId="0" borderId="0" xfId="5" applyFont="1"/>
    <xf numFmtId="0" fontId="20" fillId="0" borderId="0" xfId="5" applyFont="1" applyAlignment="1">
      <alignment horizontal="right"/>
    </xf>
    <xf numFmtId="0" fontId="21" fillId="0" borderId="0" xfId="5" applyFont="1"/>
    <xf numFmtId="164" fontId="20" fillId="0" borderId="0" xfId="5" applyNumberFormat="1" applyFont="1" applyAlignment="1">
      <alignment horizontal="left"/>
    </xf>
    <xf numFmtId="6" fontId="20" fillId="0" borderId="3" xfId="5" applyNumberFormat="1" applyFont="1" applyBorder="1" applyAlignment="1">
      <alignment horizontal="right" vertical="top" wrapText="1"/>
    </xf>
    <xf numFmtId="6" fontId="20" fillId="0" borderId="4" xfId="5" applyNumberFormat="1" applyFont="1" applyBorder="1"/>
    <xf numFmtId="38" fontId="20" fillId="0" borderId="3" xfId="5" applyNumberFormat="1" applyFont="1" applyBorder="1" applyAlignment="1">
      <alignment horizontal="right" vertical="top" wrapText="1"/>
    </xf>
    <xf numFmtId="6" fontId="20" fillId="0" borderId="4" xfId="5" applyNumberFormat="1" applyFont="1" applyBorder="1" applyAlignment="1">
      <alignment horizontal="right" vertical="top" wrapText="1"/>
    </xf>
    <xf numFmtId="0" fontId="18" fillId="2" borderId="4" xfId="5" applyFont="1" applyFill="1" applyBorder="1" applyAlignment="1">
      <alignment horizontal="center" wrapText="1"/>
    </xf>
    <xf numFmtId="38" fontId="20" fillId="0" borderId="4" xfId="5" applyNumberFormat="1" applyFont="1" applyBorder="1"/>
    <xf numFmtId="0" fontId="20" fillId="0" borderId="0" xfId="5" applyFont="1" applyBorder="1" applyAlignment="1">
      <alignment horizontal="right" vertical="top" wrapText="1"/>
    </xf>
    <xf numFmtId="6" fontId="20" fillId="0" borderId="0" xfId="5" applyNumberFormat="1" applyFont="1" applyBorder="1" applyAlignment="1">
      <alignment horizontal="right" vertical="top" wrapText="1"/>
    </xf>
    <xf numFmtId="10" fontId="20" fillId="0" borderId="0" xfId="5" applyNumberFormat="1" applyFont="1" applyBorder="1" applyAlignment="1">
      <alignment horizontal="right" vertical="top" wrapText="1"/>
    </xf>
    <xf numFmtId="8" fontId="20" fillId="0" borderId="0" xfId="5" applyNumberFormat="1" applyFont="1" applyBorder="1"/>
    <xf numFmtId="0" fontId="19" fillId="0" borderId="0" xfId="5" applyFont="1" applyAlignment="1">
      <alignment horizontal="right"/>
    </xf>
    <xf numFmtId="169" fontId="20" fillId="0" borderId="3" xfId="5" applyNumberFormat="1" applyFont="1" applyBorder="1" applyAlignment="1">
      <alignment horizontal="right" vertical="top" wrapText="1"/>
    </xf>
    <xf numFmtId="169" fontId="20" fillId="0" borderId="3" xfId="5" applyNumberFormat="1" applyFont="1" applyBorder="1" applyAlignment="1">
      <alignment horizontal="center" vertical="top" wrapText="1"/>
    </xf>
    <xf numFmtId="0" fontId="18" fillId="2" borderId="4" xfId="5" applyFont="1" applyFill="1" applyBorder="1" applyAlignment="1">
      <alignment horizontal="center" wrapText="1"/>
    </xf>
    <xf numFmtId="0" fontId="18" fillId="2" borderId="4" xfId="5" applyFont="1" applyFill="1" applyBorder="1" applyAlignment="1">
      <alignment horizontal="center" wrapText="1"/>
    </xf>
    <xf numFmtId="0" fontId="18" fillId="2" borderId="4" xfId="5" applyFont="1" applyFill="1" applyBorder="1" applyAlignment="1">
      <alignment horizontal="center" wrapText="1"/>
    </xf>
    <xf numFmtId="0" fontId="20" fillId="2" borderId="4" xfId="5" applyFont="1" applyFill="1" applyBorder="1" applyAlignment="1">
      <alignment horizontal="left"/>
    </xf>
    <xf numFmtId="0" fontId="20" fillId="0" borderId="5" xfId="5" applyFont="1" applyBorder="1" applyAlignment="1">
      <alignment horizontal="left" vertical="top" wrapText="1"/>
    </xf>
    <xf numFmtId="0" fontId="20" fillId="0" borderId="2" xfId="5" applyFont="1" applyBorder="1" applyAlignment="1">
      <alignment horizontal="left" vertical="top" wrapText="1"/>
    </xf>
    <xf numFmtId="0" fontId="20" fillId="0" borderId="5" xfId="5" applyFont="1" applyBorder="1" applyAlignment="1">
      <alignment horizontal="right" vertical="top" wrapText="1"/>
    </xf>
    <xf numFmtId="0" fontId="20" fillId="0" borderId="2" xfId="5" applyFont="1" applyBorder="1" applyAlignment="1">
      <alignment horizontal="right" vertical="top" wrapText="1"/>
    </xf>
    <xf numFmtId="0" fontId="20" fillId="0" borderId="4" xfId="5" applyFont="1" applyBorder="1" applyAlignment="1">
      <alignment horizontal="left" vertical="top" wrapText="1"/>
    </xf>
    <xf numFmtId="0" fontId="20" fillId="0" borderId="4" xfId="5" applyFont="1" applyBorder="1" applyAlignment="1">
      <alignment horizontal="right" vertical="top" wrapText="1"/>
    </xf>
    <xf numFmtId="0" fontId="22" fillId="0" borderId="0" xfId="5" applyFont="1" applyAlignment="1">
      <alignment horizontal="center"/>
    </xf>
    <xf numFmtId="0" fontId="4" fillId="0" borderId="0" xfId="5" applyFont="1" applyAlignment="1">
      <alignment horizontal="left" vertical="center"/>
    </xf>
    <xf numFmtId="0" fontId="20" fillId="0" borderId="0" xfId="5" applyFont="1" applyAlignment="1">
      <alignment horizontal="left" vertical="top" wrapText="1"/>
    </xf>
    <xf numFmtId="0" fontId="18" fillId="2" borderId="4" xfId="5" applyFont="1" applyFill="1" applyBorder="1" applyAlignment="1">
      <alignment horizontal="center" wrapText="1"/>
    </xf>
    <xf numFmtId="0" fontId="7" fillId="2" borderId="4" xfId="5" applyFont="1" applyFill="1" applyBorder="1" applyAlignment="1">
      <alignment horizontal="left"/>
    </xf>
    <xf numFmtId="0" fontId="2" fillId="0" borderId="5" xfId="5" applyFont="1" applyBorder="1" applyAlignment="1">
      <alignment horizontal="left" vertical="top" wrapText="1"/>
    </xf>
    <xf numFmtId="0" fontId="2" fillId="0" borderId="2" xfId="5" applyFont="1" applyBorder="1" applyAlignment="1">
      <alignment horizontal="left" vertical="top" wrapText="1"/>
    </xf>
    <xf numFmtId="0" fontId="2" fillId="0" borderId="5" xfId="5" applyFont="1" applyBorder="1" applyAlignment="1">
      <alignment horizontal="right" vertical="top" wrapText="1"/>
    </xf>
    <xf numFmtId="0" fontId="2" fillId="0" borderId="2" xfId="5" applyFont="1" applyBorder="1" applyAlignment="1">
      <alignment horizontal="right" vertical="top" wrapText="1"/>
    </xf>
    <xf numFmtId="0" fontId="7" fillId="0" borderId="0" xfId="5" applyFont="1" applyAlignment="1">
      <alignment horizontal="center"/>
    </xf>
    <xf numFmtId="0" fontId="7" fillId="0" borderId="0" xfId="5" applyFont="1" applyAlignment="1">
      <alignment horizontal="left" vertical="top" wrapText="1"/>
    </xf>
    <xf numFmtId="0" fontId="8" fillId="2" borderId="4" xfId="5" applyFont="1" applyFill="1" applyBorder="1" applyAlignment="1">
      <alignment horizontal="center" wrapText="1"/>
    </xf>
    <xf numFmtId="0" fontId="7" fillId="0" borderId="4" xfId="5" applyFont="1" applyBorder="1" applyAlignment="1">
      <alignment horizontal="left" vertical="top" wrapText="1"/>
    </xf>
    <xf numFmtId="0" fontId="7" fillId="0" borderId="4" xfId="5" applyFont="1" applyBorder="1" applyAlignment="1">
      <alignment horizontal="right" vertical="top" wrapText="1"/>
    </xf>
  </cellXfs>
  <cellStyles count="8">
    <cellStyle name="Normal" xfId="0" builtinId="0"/>
    <cellStyle name="Normal_2008 001 Expenditures by Function Area by actual month" xfId="1"/>
    <cellStyle name="Normal_2009 001 Expenditures by Function Area by actual month" xfId="2"/>
    <cellStyle name="Normal_2009 001 Revenue summary - by basic activity by actual month" xfId="3"/>
    <cellStyle name="Normal_2010 001 Expenditures and budget by Function Area - single fund" xfId="4"/>
    <cellStyle name="Normal_General Fund 4th Quarter Report 2007" xfId="5"/>
    <cellStyle name="Normal_Monthly Revenue Report 2007" xfId="6"/>
    <cellStyle name="Percent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400"/>
              <a:t>FY 2013  Road &amp; Bridge Fund Revenue by Source</a:t>
            </a:r>
          </a:p>
        </c:rich>
      </c:tx>
      <c:layout>
        <c:manualLayout>
          <c:xMode val="edge"/>
          <c:yMode val="edge"/>
          <c:x val="0.19820609280899124"/>
          <c:y val="5.021052881984917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Q4 Rd &amp; Bridge)'!$D$16</c:f>
              <c:strCache>
                <c:ptCount val="1"/>
                <c:pt idx="0">
                  <c:v>YTD Collections as of 10/7/13</c:v>
                </c:pt>
              </c:strCache>
            </c:strRef>
          </c:tx>
          <c:invertIfNegative val="0"/>
          <c:cat>
            <c:strRef>
              <c:f>'2013 Q4 Rd &amp; Bridge)'!$A$17:$B$22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Misc./Proceeds F/A Disp</c:v>
                </c:pt>
              </c:strCache>
            </c:strRef>
          </c:cat>
          <c:val>
            <c:numRef>
              <c:f>'2013 Q4 Rd &amp; Bridge)'!$D$17:$D$22</c:f>
              <c:numCache>
                <c:formatCode>#,##0_);[Red]\(#,##0\)</c:formatCode>
                <c:ptCount val="6"/>
                <c:pt idx="0" formatCode="&quot;$&quot;#,##0_);[Red]\(&quot;$&quot;#,##0\)">
                  <c:v>2253529</c:v>
                </c:pt>
                <c:pt idx="1">
                  <c:v>3780</c:v>
                </c:pt>
                <c:pt idx="2">
                  <c:v>15594271</c:v>
                </c:pt>
                <c:pt idx="3">
                  <c:v>1953529</c:v>
                </c:pt>
                <c:pt idx="4">
                  <c:v>84258</c:v>
                </c:pt>
                <c:pt idx="5">
                  <c:v>231809</c:v>
                </c:pt>
              </c:numCache>
            </c:numRef>
          </c:val>
        </c:ser>
        <c:ser>
          <c:idx val="1"/>
          <c:order val="1"/>
          <c:tx>
            <c:strRef>
              <c:f>'2013 Q4 Rd &amp; Bridge)'!$H$16</c:f>
              <c:strCache>
                <c:ptCount val="1"/>
              </c:strCache>
            </c:strRef>
          </c:tx>
          <c:spPr>
            <a:pattFill prst="wdDn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2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3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4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5"/>
            <c:invertIfNegative val="0"/>
            <c:bubble3D val="0"/>
            <c:spPr>
              <a:pattFill prst="dk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6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cat>
            <c:strRef>
              <c:f>'2013 Q4 Rd &amp; Bridge)'!$A$17:$B$22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Misc./Proceeds F/A Disp</c:v>
                </c:pt>
              </c:strCache>
            </c:strRef>
          </c:cat>
          <c:val>
            <c:numRef>
              <c:f>'2013 Q4 Rd &amp; Bridge)'!$H$17:$H$22</c:f>
              <c:numCache>
                <c:formatCode>#,##0_);[Red]\(#,##0\)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55742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701696"/>
        <c:axId val="122724352"/>
      </c:barChart>
      <c:lineChart>
        <c:grouping val="stacked"/>
        <c:varyColors val="0"/>
        <c:ser>
          <c:idx val="2"/>
          <c:order val="2"/>
          <c:tx>
            <c:strRef>
              <c:f>'2013 Q4 Rd &amp; Bridge)'!$I$16</c:f>
              <c:strCache>
                <c:ptCount val="1"/>
                <c:pt idx="0">
                  <c:v>100%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Q4 Rd &amp; Bridge)'!$I$17:$I$22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1696"/>
        <c:axId val="122724352"/>
      </c:lineChart>
      <c:catAx>
        <c:axId val="12270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122724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7243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27016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061100646223087"/>
          <c:y val="0.93239554914790579"/>
          <c:w val="0.47988081727525517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FY 2013 Road &amp; Bridge Fund Expenditures by Function Area</a:t>
            </a:r>
          </a:p>
        </c:rich>
      </c:tx>
      <c:layout>
        <c:manualLayout>
          <c:xMode val="edge"/>
          <c:yMode val="edge"/>
          <c:x val="0.20371178737108372"/>
          <c:y val="1.40845868515119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Q3 Rd &amp; Bridge'!$D$47</c:f>
              <c:strCache>
                <c:ptCount val="1"/>
                <c:pt idx="0">
                  <c:v>YTD Expenditures as of 7/15/13</c:v>
                </c:pt>
              </c:strCache>
            </c:strRef>
          </c:tx>
          <c:invertIfNegative val="0"/>
          <c:cat>
            <c:strRef>
              <c:f>'2013 Q3 Rd &amp; Bridge'!$A$48:$B$50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Miscellaneous</c:v>
                </c:pt>
              </c:strCache>
            </c:strRef>
          </c:cat>
          <c:val>
            <c:numRef>
              <c:f>'2013 Q3 Rd &amp; Bridge'!$D$48:$D$50</c:f>
              <c:numCache>
                <c:formatCode>#,##0_);[Red]\(#,##0\)</c:formatCode>
                <c:ptCount val="3"/>
                <c:pt idx="0" formatCode="&quot;$&quot;#,##0_);[Red]\(&quot;$&quot;#,##0\)">
                  <c:v>53473</c:v>
                </c:pt>
                <c:pt idx="1">
                  <c:v>13674822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'2013 Q3 Rd &amp; Bridge'!$H$47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wdDn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2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3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4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5"/>
            <c:invertIfNegative val="0"/>
            <c:bubble3D val="0"/>
            <c:spPr>
              <a:pattFill prst="dk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6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cat>
            <c:strRef>
              <c:f>'2013 Q3 Rd &amp; Bridge'!$A$48:$B$50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Miscellaneous</c:v>
                </c:pt>
              </c:strCache>
            </c:strRef>
          </c:cat>
          <c:val>
            <c:numRef>
              <c:f>'2013 Q3 Rd &amp; Bridge'!$H$48:$H$50</c:f>
              <c:numCache>
                <c:formatCode>#,##0</c:formatCode>
                <c:ptCount val="3"/>
                <c:pt idx="0" formatCode="&quot;$&quot;#,##0_);[Red]\(&quot;$&quot;#,##0\)">
                  <c:v>0</c:v>
                </c:pt>
                <c:pt idx="1">
                  <c:v>6826073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743808"/>
        <c:axId val="40403712"/>
      </c:barChart>
      <c:lineChart>
        <c:grouping val="stacked"/>
        <c:varyColors val="0"/>
        <c:ser>
          <c:idx val="2"/>
          <c:order val="2"/>
          <c:tx>
            <c:strRef>
              <c:f>'2013 Q3 Rd &amp; Bridge'!$G$47</c:f>
              <c:strCache>
                <c:ptCount val="1"/>
                <c:pt idx="0">
                  <c:v>75%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Q3 Rd &amp; Bridge'!$I$48:$I$50</c:f>
              <c:numCache>
                <c:formatCode>0%</c:formatCode>
                <c:ptCount val="3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43808"/>
        <c:axId val="40403712"/>
      </c:lineChart>
      <c:catAx>
        <c:axId val="3674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40403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4037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67438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124900384246734"/>
          <c:y val="0.93239554914790579"/>
          <c:w val="0.63497609691622503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284544"/>
        <c:axId val="108290432"/>
      </c:barChart>
      <c:catAx>
        <c:axId val="1082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2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2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284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16544"/>
        <c:axId val="108318080"/>
      </c:barChart>
      <c:catAx>
        <c:axId val="1083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318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318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316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10112"/>
        <c:axId val="109611648"/>
      </c:barChart>
      <c:catAx>
        <c:axId val="10961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611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611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610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Road &amp; Bridge Fund Revenue 
Collected 1st &amp; 2nd Quarter of Fiscal Year</a:t>
            </a:r>
          </a:p>
        </c:rich>
      </c:tx>
      <c:layout>
        <c:manualLayout>
          <c:xMode val="edge"/>
          <c:yMode val="edge"/>
          <c:x val="0.33284059281109496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86E-2"/>
          <c:y val="0.24011365674009302"/>
          <c:w val="0.88609531459131363"/>
          <c:h val="0.54802411067738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'2010 Q2 Rd &amp; Bridge'!$M$16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Bridge'!$J$17:$J$22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'2010 Q2 Rd &amp; Bridge'!$M$17:$M$22</c:f>
              <c:numCache>
                <c:formatCode>0.00%</c:formatCode>
                <c:ptCount val="6"/>
                <c:pt idx="0">
                  <c:v>0.96748386524189167</c:v>
                </c:pt>
                <c:pt idx="1">
                  <c:v>0.33980582524271846</c:v>
                </c:pt>
                <c:pt idx="2">
                  <c:v>0.47334062122503712</c:v>
                </c:pt>
                <c:pt idx="3">
                  <c:v>0.37180657893876978</c:v>
                </c:pt>
                <c:pt idx="4">
                  <c:v>0.33272620789587048</c:v>
                </c:pt>
                <c:pt idx="5">
                  <c:v>1.4865570866141733</c:v>
                </c:pt>
              </c:numCache>
            </c:numRef>
          </c:val>
        </c:ser>
        <c:ser>
          <c:idx val="1"/>
          <c:order val="1"/>
          <c:tx>
            <c:strRef>
              <c:f>'2010 Q2 Rd &amp; Bridge'!$Q$16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Q2 Rd &amp; Bridge'!$Q$17:$Q$22</c:f>
              <c:numCache>
                <c:formatCode>0.00%</c:formatCode>
                <c:ptCount val="6"/>
                <c:pt idx="0">
                  <c:v>0.96555208887880262</c:v>
                </c:pt>
                <c:pt idx="1">
                  <c:v>0.6097560975609756</c:v>
                </c:pt>
                <c:pt idx="2">
                  <c:v>0.50879177744357451</c:v>
                </c:pt>
                <c:pt idx="3">
                  <c:v>0.48126469291426338</c:v>
                </c:pt>
                <c:pt idx="4">
                  <c:v>0.50122134045043798</c:v>
                </c:pt>
                <c:pt idx="5">
                  <c:v>0.21702767267168743</c:v>
                </c:pt>
              </c:numCache>
            </c:numRef>
          </c:val>
        </c:ser>
        <c:ser>
          <c:idx val="2"/>
          <c:order val="2"/>
          <c:tx>
            <c:strRef>
              <c:f>'2010 Q2 Rd &amp; Bridge'!$U$16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Q2 Rd &amp; Bridge'!$U$17:$U$22</c:f>
              <c:numCache>
                <c:formatCode>0.00%</c:formatCode>
                <c:ptCount val="6"/>
                <c:pt idx="0">
                  <c:v>0.95888191919982113</c:v>
                </c:pt>
                <c:pt idx="1">
                  <c:v>0.39264568401371142</c:v>
                </c:pt>
                <c:pt idx="2">
                  <c:v>0.54711630660679589</c:v>
                </c:pt>
                <c:pt idx="3">
                  <c:v>0.1634336744568437</c:v>
                </c:pt>
                <c:pt idx="4">
                  <c:v>0.49101393963266771</c:v>
                </c:pt>
                <c:pt idx="5">
                  <c:v>0.87554271608240297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66688"/>
        <c:axId val="109668224"/>
      </c:barChart>
      <c:catAx>
        <c:axId val="10966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966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66822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9666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751512556398724"/>
          <c:y val="0.91525690644601632"/>
          <c:w val="0.64497085900516204"/>
          <c:h val="0.983053813188605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Road &amp; Bridge Fund Expenditures 
Spent 1st &amp; 2nd Quarter of Fiscal Year</a:t>
            </a:r>
          </a:p>
        </c:rich>
      </c:tx>
      <c:layout>
        <c:manualLayout>
          <c:xMode val="edge"/>
          <c:yMode val="edge"/>
          <c:x val="0.29758303360228117"/>
          <c:y val="3.0092592592592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357E-2"/>
          <c:y val="0.20370416418946272"/>
          <c:w val="0.88821752265861031"/>
          <c:h val="0.516204870616479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'2010 Q2 Rd &amp; Bridge'!$M$47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Bridge'!$J$48:$J$50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'2010 Q2 Rd &amp; Bridge'!$M$48:$M$50</c:f>
              <c:numCache>
                <c:formatCode>0.00%</c:formatCode>
                <c:ptCount val="3"/>
                <c:pt idx="0">
                  <c:v>4.0498694220506413E-2</c:v>
                </c:pt>
                <c:pt idx="1">
                  <c:v>0.34271432567549881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'2010 Q2 Rd &amp; Bridge'!$Q$47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Q2 Rd &amp; Bridge'!$Q$48:$Q$50</c:f>
              <c:numCache>
                <c:formatCode>0.00%</c:formatCode>
                <c:ptCount val="3"/>
                <c:pt idx="0">
                  <c:v>0.77696695810151006</c:v>
                </c:pt>
                <c:pt idx="1">
                  <c:v>0.3460491116765198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'2010 Q2 Rd &amp; Bridge'!$W$47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Q2 Rd &amp; Bridge'!$W$48:$W$50</c:f>
              <c:numCache>
                <c:formatCode>0.00%</c:formatCode>
                <c:ptCount val="3"/>
                <c:pt idx="0">
                  <c:v>0.50555421823549451</c:v>
                </c:pt>
                <c:pt idx="1">
                  <c:v>0.43162506823904467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86144"/>
        <c:axId val="109700224"/>
      </c:barChart>
      <c:catAx>
        <c:axId val="1096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9700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70022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9686144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19636434334598"/>
          <c:y val="0.93287255759696708"/>
          <c:w val="0.60271896568484495"/>
          <c:h val="0.986113298337707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6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2010 Road &amp; Bridge Fund Revenue by Source</a:t>
            </a:r>
          </a:p>
        </c:rich>
      </c:tx>
      <c:layout>
        <c:manualLayout>
          <c:xMode val="edge"/>
          <c:yMode val="edge"/>
          <c:x val="0.25484357834266147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23E-2"/>
          <c:w val="0.8792846497764526"/>
          <c:h val="0.7323953735631799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'2010 Q3 Rd &amp; Bridge'!$D$16</c:f>
              <c:strCache>
                <c:ptCount val="1"/>
                <c:pt idx="0">
                  <c:v>YTD Collections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Q3 Rd &amp; Bridge'!$A$17:$B$22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'2010 Q3 Rd &amp; Bridge'!$D$17:$D$22</c:f>
              <c:numCache>
                <c:formatCode>_(* #,##0_);_(* \(#,##0\);_(* "-"??_);_(@_)</c:formatCode>
                <c:ptCount val="6"/>
                <c:pt idx="0" formatCode="&quot;$&quot;#,##0_);[Red]\(&quot;$&quot;#,##0\)">
                  <c:v>4303975.5599999996</c:v>
                </c:pt>
                <c:pt idx="1">
                  <c:v>1188</c:v>
                </c:pt>
                <c:pt idx="2">
                  <c:v>10150131.33</c:v>
                </c:pt>
                <c:pt idx="3">
                  <c:v>1556126</c:v>
                </c:pt>
                <c:pt idx="4">
                  <c:v>150250.53</c:v>
                </c:pt>
                <c:pt idx="5">
                  <c:v>53786.52</c:v>
                </c:pt>
              </c:numCache>
            </c:numRef>
          </c:val>
        </c:ser>
        <c:ser>
          <c:idx val="1"/>
          <c:order val="1"/>
          <c:tx>
            <c:strRef>
              <c:f>'2010 Q3 Rd &amp; Bridge'!$H$16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Q3 Rd &amp; Bridge'!$A$17:$B$22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'2010 Q3 Rd &amp; Bridge'!$H$17:$H$22</c:f>
              <c:numCache>
                <c:formatCode>"$"#,##0_);[Red]\("$"#,##0\)</c:formatCode>
                <c:ptCount val="6"/>
                <c:pt idx="0">
                  <c:v>34019.44000000041</c:v>
                </c:pt>
                <c:pt idx="1">
                  <c:v>666</c:v>
                </c:pt>
                <c:pt idx="2" formatCode="#,##0_);[Red]\(#,##0\)">
                  <c:v>1944358.67</c:v>
                </c:pt>
                <c:pt idx="3" formatCode="#,##0_);[Red]\(#,##0\)">
                  <c:v>739229</c:v>
                </c:pt>
                <c:pt idx="4" formatCode="#,##0_);[Red]\(#,##0\)">
                  <c:v>130630.47</c:v>
                </c:pt>
                <c:pt idx="5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599552"/>
        <c:axId val="110605824"/>
      </c:barChart>
      <c:lineChart>
        <c:grouping val="stacked"/>
        <c:varyColors val="0"/>
        <c:ser>
          <c:idx val="2"/>
          <c:order val="2"/>
          <c:tx>
            <c:strRef>
              <c:f>'2010 Q3 Rd &amp; Bridge'!$I$16</c:f>
              <c:strCache>
                <c:ptCount val="1"/>
                <c:pt idx="0">
                  <c:v>75%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'2010 Q3 Rd &amp; Bridge'!$I$17:$I$22</c:f>
              <c:numCache>
                <c:formatCode>0%</c:formatCode>
                <c:ptCount val="6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99552"/>
        <c:axId val="110605824"/>
      </c:lineChart>
      <c:catAx>
        <c:axId val="11059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0605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605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0599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9061102522002102"/>
          <c:y val="0.93239554914790579"/>
          <c:w val="0.77049181637683417"/>
          <c:h val="0.991550478725370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2010 Road &amp; Bridge Fund Expenditures by Function Area</a:t>
            </a:r>
          </a:p>
        </c:rich>
      </c:tx>
      <c:layout>
        <c:manualLayout>
          <c:xMode val="edge"/>
          <c:yMode val="edge"/>
          <c:x val="0.20119224822924531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39294585196227E-2"/>
          <c:y val="0.1129807692307692"/>
          <c:w val="0.87779433681073094"/>
          <c:h val="0.538461538461538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'2010 Q3 Rd &amp; Bridge'!$D$47</c:f>
              <c:strCache>
                <c:ptCount val="1"/>
                <c:pt idx="0">
                  <c:v>YTD Expenditures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Bridge'!$A$48:$B$50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'2010 Q3 Rd &amp; Bridge'!$D$48:$D$50</c:f>
              <c:numCache>
                <c:formatCode>_(* #,##0_);_(* \(#,##0\);_(* "-"??_);_(@_)</c:formatCode>
                <c:ptCount val="3"/>
                <c:pt idx="0" formatCode="&quot;$&quot;#,##0_);[Red]\(&quot;$&quot;#,##0\)">
                  <c:v>1783.36</c:v>
                </c:pt>
                <c:pt idx="1">
                  <c:v>12130895.800000001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'2010 Q3 Rd &amp; Bridge'!$H$47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Bridge'!$A$48:$B$50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'2010 Q3 Rd &amp; Bridge'!$H$48:$H$50</c:f>
              <c:numCache>
                <c:formatCode>#,##0</c:formatCode>
                <c:ptCount val="3"/>
                <c:pt idx="0" formatCode="&quot;$&quot;#,##0_);[Red]\(&quot;$&quot;#,##0\)">
                  <c:v>42251.64</c:v>
                </c:pt>
                <c:pt idx="1">
                  <c:v>7216436.1999999993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636032"/>
        <c:axId val="110638208"/>
      </c:barChart>
      <c:lineChart>
        <c:grouping val="stacked"/>
        <c:varyColors val="0"/>
        <c:ser>
          <c:idx val="2"/>
          <c:order val="2"/>
          <c:tx>
            <c:strRef>
              <c:f>'2010 Q3 Rd &amp; Bridge'!$G$47</c:f>
              <c:strCache>
                <c:ptCount val="1"/>
                <c:pt idx="0">
                  <c:v>75%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'2010 Q3 Rd &amp; Bridge'!$I$48:$I$50</c:f>
              <c:numCache>
                <c:formatCode>0%</c:formatCode>
                <c:ptCount val="3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36032"/>
        <c:axId val="110638208"/>
      </c:lineChart>
      <c:catAx>
        <c:axId val="1106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063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638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06360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7570784245576607"/>
          <c:y val="0.92548076923076927"/>
          <c:w val="0.81073023406320777"/>
          <c:h val="0.978365384615384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89600"/>
        <c:axId val="110891392"/>
      </c:barChart>
      <c:catAx>
        <c:axId val="11088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89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91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889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937984"/>
        <c:axId val="110939520"/>
      </c:barChart>
      <c:catAx>
        <c:axId val="1109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939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939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9379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974080"/>
        <c:axId val="110975616"/>
      </c:barChart>
      <c:catAx>
        <c:axId val="1109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975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97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9740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718784"/>
        <c:axId val="92292224"/>
      </c:barChart>
      <c:catAx>
        <c:axId val="737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29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292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718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014272"/>
        <c:axId val="111015808"/>
      </c:barChart>
      <c:catAx>
        <c:axId val="11101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01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015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014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05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% of Road &amp; Bridge Fund Revenue 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05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Collected 1st, 2nd, &amp; 3rd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05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Quarter of Fiscal Year</a:t>
            </a:r>
            <a:endParaRPr lang="en-US"/>
          </a:p>
        </c:rich>
      </c:tx>
      <c:layout>
        <c:manualLayout>
          <c:xMode val="edge"/>
          <c:yMode val="edge"/>
          <c:x val="0.33284059281109496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169E-2"/>
          <c:y val="0.24011365674009308"/>
          <c:w val="0.88609531459131363"/>
          <c:h val="0.54802411067738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'2010 Q3 Rd &amp; Bridge'!$M$16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Bridge'!$J$17:$J$22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'2010 Q3 Rd &amp; Bridge'!$M$17:$M$22</c:f>
              <c:numCache>
                <c:formatCode>0.00%</c:formatCode>
                <c:ptCount val="6"/>
                <c:pt idx="0">
                  <c:v>0.99215779640133273</c:v>
                </c:pt>
                <c:pt idx="1">
                  <c:v>0.64077669902912626</c:v>
                </c:pt>
                <c:pt idx="2">
                  <c:v>0.83923599341518329</c:v>
                </c:pt>
                <c:pt idx="3">
                  <c:v>0.67794567724818167</c:v>
                </c:pt>
                <c:pt idx="4">
                  <c:v>0.53492592948615247</c:v>
                </c:pt>
                <c:pt idx="5">
                  <c:v>2.1175795275590552</c:v>
                </c:pt>
              </c:numCache>
            </c:numRef>
          </c:val>
        </c:ser>
        <c:ser>
          <c:idx val="1"/>
          <c:order val="1"/>
          <c:tx>
            <c:strRef>
              <c:f>'2010 Q3 Rd &amp; Bridge'!$Q$16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Q3 Rd &amp; Bridge'!$Q$17:$Q$22</c:f>
              <c:numCache>
                <c:formatCode>0.00%</c:formatCode>
                <c:ptCount val="6"/>
                <c:pt idx="0">
                  <c:v>0.98815243986499113</c:v>
                </c:pt>
                <c:pt idx="1">
                  <c:v>0.80487804878048785</c:v>
                </c:pt>
                <c:pt idx="2">
                  <c:v>0.67534116774376485</c:v>
                </c:pt>
                <c:pt idx="3">
                  <c:v>0.73079946077577229</c:v>
                </c:pt>
                <c:pt idx="4">
                  <c:v>0.74281194336499401</c:v>
                </c:pt>
                <c:pt idx="5">
                  <c:v>0.51244504713370209</c:v>
                </c:pt>
              </c:numCache>
            </c:numRef>
          </c:val>
        </c:ser>
        <c:ser>
          <c:idx val="2"/>
          <c:order val="2"/>
          <c:tx>
            <c:strRef>
              <c:f>'2010 Q3 Rd &amp; Bridge'!$U$16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Q3 Rd &amp; Bridge'!$U$17:$U$22</c:f>
              <c:numCache>
                <c:formatCode>0.00%</c:formatCode>
                <c:ptCount val="6"/>
                <c:pt idx="0">
                  <c:v>0.98528529735684278</c:v>
                </c:pt>
                <c:pt idx="1">
                  <c:v>0.63384231847927708</c:v>
                </c:pt>
                <c:pt idx="2">
                  <c:v>0.87012411628531072</c:v>
                </c:pt>
                <c:pt idx="3">
                  <c:v>0.69685492525601844</c:v>
                </c:pt>
                <c:pt idx="4">
                  <c:v>0.72598383490879814</c:v>
                </c:pt>
                <c:pt idx="5">
                  <c:v>0.88337526249581888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74112"/>
        <c:axId val="112084096"/>
      </c:barChart>
      <c:catAx>
        <c:axId val="1120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208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08409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2074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751512556398724"/>
          <c:y val="0.91525690644601632"/>
          <c:w val="0.64497085900516204"/>
          <c:h val="0.983053813188605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Road &amp; Bridge Fund Expenditures 
Spent 1st, 2nd, &amp; 3rd Quarter of Fiscal Year</a:t>
            </a:r>
          </a:p>
        </c:rich>
      </c:tx>
      <c:layout>
        <c:manualLayout>
          <c:xMode val="edge"/>
          <c:yMode val="edge"/>
          <c:x val="0.29758303360228117"/>
          <c:y val="3.0092592592592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44E-2"/>
          <c:y val="0.20370416418946283"/>
          <c:w val="0.88821752265861031"/>
          <c:h val="0.516204870616479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'2010 Q3 Rd &amp; Bridge'!$M$47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Bridge'!$J$48:$J$50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'2010 Q3 Rd &amp; Bridge'!$M$48:$M$50</c:f>
              <c:numCache>
                <c:formatCode>0.00%</c:formatCode>
                <c:ptCount val="3"/>
                <c:pt idx="0">
                  <c:v>4.0498694220506413E-2</c:v>
                </c:pt>
                <c:pt idx="1">
                  <c:v>0.62700613190490562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'2010 Q3 Rd &amp; Bridge'!$Q$47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Q3 Rd &amp; Bridge'!$Q$48:$Q$50</c:f>
              <c:numCache>
                <c:formatCode>0.00%</c:formatCode>
                <c:ptCount val="3"/>
                <c:pt idx="0">
                  <c:v>0.77696695810151006</c:v>
                </c:pt>
                <c:pt idx="1">
                  <c:v>0.51495904305780682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'2010 Q3 Rd &amp; Bridge'!$W$47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Q3 Rd &amp; Bridge'!$W$48:$W$50</c:f>
              <c:numCache>
                <c:formatCode>0.00%</c:formatCode>
                <c:ptCount val="3"/>
                <c:pt idx="0">
                  <c:v>1.2131756557283979</c:v>
                </c:pt>
                <c:pt idx="1">
                  <c:v>0.55458825090632435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10208"/>
        <c:axId val="112132480"/>
      </c:barChart>
      <c:catAx>
        <c:axId val="11211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213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3248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2110208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19636434334598"/>
          <c:y val="0.93287255759696708"/>
          <c:w val="0.60271896568484495"/>
          <c:h val="0.986113298337707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6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2010 Road &amp; Bridge Fund Revenue by Source</a:t>
            </a:r>
          </a:p>
        </c:rich>
      </c:tx>
      <c:layout>
        <c:manualLayout>
          <c:xMode val="edge"/>
          <c:yMode val="edge"/>
          <c:x val="0.25484365135144793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23E-2"/>
          <c:w val="0.87928464977645249"/>
          <c:h val="0.7323953735631806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'2010 Q4 Rd &amp; Bridge '!$D$16</c:f>
              <c:strCache>
                <c:ptCount val="1"/>
                <c:pt idx="0">
                  <c:v>YTD Collections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Q4 Rd &amp; Bridge 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'2010 Q4 Rd &amp; Bridge '!$D$17:$D$22</c:f>
              <c:numCache>
                <c:formatCode>_(* #,##0_);_(* \(#,##0\);_(* "-"??_);_(@_)</c:formatCode>
                <c:ptCount val="6"/>
                <c:pt idx="0" formatCode="&quot;$&quot;#,##0_);[Red]\(&quot;$&quot;#,##0\)">
                  <c:v>4332761.68</c:v>
                </c:pt>
                <c:pt idx="1">
                  <c:v>1620</c:v>
                </c:pt>
                <c:pt idx="2">
                  <c:v>12058465.6</c:v>
                </c:pt>
                <c:pt idx="3">
                  <c:v>2013491.08</c:v>
                </c:pt>
                <c:pt idx="4">
                  <c:v>204373.62</c:v>
                </c:pt>
                <c:pt idx="5">
                  <c:v>279774.43</c:v>
                </c:pt>
              </c:numCache>
            </c:numRef>
          </c:val>
        </c:ser>
        <c:ser>
          <c:idx val="1"/>
          <c:order val="1"/>
          <c:tx>
            <c:strRef>
              <c:f>'2010 Q4 Rd &amp; Bridge 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Q4 Rd &amp; Bridge 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'2010 Q4 Rd &amp; Bridge '!$H$17:$H$22</c:f>
              <c:numCache>
                <c:formatCode>"$"#,##0_);[Red]\("$"#,##0\)</c:formatCode>
                <c:ptCount val="6"/>
                <c:pt idx="0">
                  <c:v>5233.320000000298</c:v>
                </c:pt>
                <c:pt idx="1">
                  <c:v>234</c:v>
                </c:pt>
                <c:pt idx="2" formatCode="#,##0_);[Red]\(#,##0\)">
                  <c:v>36024.400000000373</c:v>
                </c:pt>
                <c:pt idx="3" formatCode="#,##0_);[Red]\(#,##0\)">
                  <c:v>281863.91999999993</c:v>
                </c:pt>
                <c:pt idx="4" formatCode="#,##0_);[Red]\(#,##0\)">
                  <c:v>76507.38</c:v>
                </c:pt>
                <c:pt idx="5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339200"/>
        <c:axId val="112341376"/>
      </c:barChart>
      <c:lineChart>
        <c:grouping val="stacked"/>
        <c:varyColors val="0"/>
        <c:ser>
          <c:idx val="2"/>
          <c:order val="2"/>
          <c:tx>
            <c:strRef>
              <c:f>'2010 Q4 Rd &amp; Bridge '!$I$16</c:f>
              <c:strCache>
                <c:ptCount val="1"/>
                <c:pt idx="0">
                  <c:v>100%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('2010 Q4 Rd &amp; Bridge '!$A$22:$B$22,'2010 Q4 Rd &amp; Bridge '!$D$22,'2010 Q4 Rd &amp; Bridge '!$H$22:$I$22)</c:f>
              <c:multiLvlStrCache>
                <c:ptCount val="3"/>
                <c:lvl>
                  <c:pt idx="1">
                    <c:v> 279,774 </c:v>
                  </c:pt>
                  <c:pt idx="2">
                    <c:v>100%</c:v>
                  </c:pt>
                </c:lvl>
                <c:lvl>
                  <c:pt idx="0">
                    <c:v>Miscellaneous</c:v>
                  </c:pt>
                  <c:pt idx="2">
                    <c:v>0 </c:v>
                  </c:pt>
                </c:lvl>
              </c:multiLvlStrCache>
            </c:multiLvlStrRef>
          </c:cat>
          <c:val>
            <c:numRef>
              <c:f>'2010 Q4 Rd &amp; Bridge '!$I$17:$I$22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39200"/>
        <c:axId val="112341376"/>
      </c:lineChart>
      <c:catAx>
        <c:axId val="1123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234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341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2339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9061098073784652"/>
          <c:y val="0.93239554914790579"/>
          <c:w val="0.77049169912762416"/>
          <c:h val="0.991550478725370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2010 Road &amp; Bridge Fund Expenditures by Function Area</a:t>
            </a:r>
          </a:p>
        </c:rich>
      </c:tx>
      <c:layout>
        <c:manualLayout>
          <c:xMode val="edge"/>
          <c:yMode val="edge"/>
          <c:x val="0.20119218078073067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392945851962311E-2"/>
          <c:y val="0.11298076923076918"/>
          <c:w val="0.87779433681073116"/>
          <c:h val="0.538461538461538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'2010 Q4 Rd &amp; Bridge '!$D$47</c:f>
              <c:strCache>
                <c:ptCount val="1"/>
                <c:pt idx="0">
                  <c:v>YTD Expenditures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Bridge'!$A$48:$B$50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'2010 Q4 Rd &amp; Bridge '!$D$48:$D$50</c:f>
              <c:numCache>
                <c:formatCode>_(* #,##0_);_(* \(#,##0\);_(* "-"??_);_(@_)</c:formatCode>
                <c:ptCount val="3"/>
                <c:pt idx="0" formatCode="&quot;$&quot;#,##0_);[Red]\(&quot;$&quot;#,##0\)">
                  <c:v>8747.1</c:v>
                </c:pt>
                <c:pt idx="1">
                  <c:v>16476256</c:v>
                </c:pt>
                <c:pt idx="2" formatCode="&quot;$&quot;#,##0_);[Red]\(&quot;$&quot;#,##0\)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'2010 Q4 Rd &amp; Bridge '!$H$47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Bridge'!$A$48:$B$50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'2010 Q4 Rd &amp; Bridge '!$H$48:$H$50</c:f>
              <c:numCache>
                <c:formatCode>#,##0</c:formatCode>
                <c:ptCount val="3"/>
                <c:pt idx="0" formatCode="&quot;$&quot;#,##0_);[Red]\(&quot;$&quot;#,##0\)">
                  <c:v>35287.9</c:v>
                </c:pt>
                <c:pt idx="1">
                  <c:v>2871076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371584"/>
        <c:axId val="112377856"/>
      </c:barChart>
      <c:lineChart>
        <c:grouping val="stacked"/>
        <c:varyColors val="0"/>
        <c:ser>
          <c:idx val="2"/>
          <c:order val="2"/>
          <c:tx>
            <c:strRef>
              <c:f>'2010 Q4 Rd &amp; Bridge '!$G$47</c:f>
              <c:strCache>
                <c:ptCount val="1"/>
                <c:pt idx="0">
                  <c:v>100%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'2010 Q4 Rd &amp; Bridge '!$I$48:$I$50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71584"/>
        <c:axId val="112377856"/>
      </c:lineChart>
      <c:catAx>
        <c:axId val="1123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237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377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237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7570776799647395"/>
          <c:y val="0.92548076923076927"/>
          <c:w val="0.8107301035176957"/>
          <c:h val="0.978365384615384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412160"/>
        <c:axId val="112413696"/>
      </c:barChart>
      <c:catAx>
        <c:axId val="1124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41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13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4121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448256"/>
        <c:axId val="112449792"/>
      </c:barChart>
      <c:catAx>
        <c:axId val="1124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44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49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448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475584"/>
        <c:axId val="113477120"/>
      </c:barChart>
      <c:catAx>
        <c:axId val="1134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477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3477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475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495040"/>
        <c:axId val="113525504"/>
      </c:barChart>
      <c:catAx>
        <c:axId val="11349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525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525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495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05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% of Road &amp; Bridge Fund Revenue 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05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Collected thru 4th Quarter of Fiscal Year</a:t>
            </a:r>
            <a:endParaRPr lang="en-US"/>
          </a:p>
        </c:rich>
      </c:tx>
      <c:layout>
        <c:manualLayout>
          <c:xMode val="edge"/>
          <c:yMode val="edge"/>
          <c:x val="0.33284055709252558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252E-2"/>
          <c:y val="0.24011365674009313"/>
          <c:w val="0.88609531459131363"/>
          <c:h val="0.54802411067738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'2010 Q4 Rd &amp; Bridge '!$M$16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Bridge'!$J$17:$J$22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'2010 Q4 Rd &amp; Bridge '!$M$17:$M$22</c:f>
              <c:numCache>
                <c:formatCode>0.00%</c:formatCode>
                <c:ptCount val="6"/>
                <c:pt idx="0">
                  <c:v>0.99879360856801347</c:v>
                </c:pt>
                <c:pt idx="1">
                  <c:v>0.87378640776699024</c:v>
                </c:pt>
                <c:pt idx="2">
                  <c:v>0.9970214204980945</c:v>
                </c:pt>
                <c:pt idx="3">
                  <c:v>0.87720247194878354</c:v>
                </c:pt>
                <c:pt idx="4">
                  <c:v>0.72761639270723188</c:v>
                </c:pt>
                <c:pt idx="5">
                  <c:v>11.014741338582677</c:v>
                </c:pt>
              </c:numCache>
            </c:numRef>
          </c:val>
        </c:ser>
        <c:ser>
          <c:idx val="1"/>
          <c:order val="1"/>
          <c:tx>
            <c:strRef>
              <c:f>'2010 Q4 Rd &amp; Bridge '!$Q$16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Q4 Rd &amp; Bridge '!$Q$17:$Q$22</c:f>
              <c:numCache>
                <c:formatCode>0.00%</c:formatCode>
                <c:ptCount val="6"/>
                <c:pt idx="0">
                  <c:v>0.99838171653184471</c:v>
                </c:pt>
                <c:pt idx="1">
                  <c:v>1</c:v>
                </c:pt>
                <c:pt idx="2">
                  <c:v>0.99521636221469334</c:v>
                </c:pt>
                <c:pt idx="3">
                  <c:v>0.98959261788125985</c:v>
                </c:pt>
                <c:pt idx="4">
                  <c:v>0.96810488992582</c:v>
                </c:pt>
                <c:pt idx="5">
                  <c:v>0.99999863301327596</c:v>
                </c:pt>
              </c:numCache>
            </c:numRef>
          </c:val>
        </c:ser>
        <c:ser>
          <c:idx val="2"/>
          <c:order val="2"/>
          <c:tx>
            <c:strRef>
              <c:f>'2010 Q4 Rd &amp; Bridge '!$U$16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Q4 Rd &amp; Bridge '!$U$17:$U$22</c:f>
              <c:numCache>
                <c:formatCode>0.00%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0.99999999999999989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47520"/>
        <c:axId val="113557504"/>
      </c:barChart>
      <c:catAx>
        <c:axId val="11354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35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55750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3547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751507412924733"/>
          <c:y val="0.91525690644601632"/>
          <c:w val="0.64497079756922271"/>
          <c:h val="0.983053813188605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92800"/>
        <c:axId val="104094720"/>
      </c:barChart>
      <c:catAx>
        <c:axId val="1040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09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09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092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Road &amp; Bridge Fund Expenditures 
Spent  thru 4th Quarter of Fiscal Year</a:t>
            </a:r>
          </a:p>
        </c:rich>
      </c:tx>
      <c:layout>
        <c:manualLayout>
          <c:xMode val="edge"/>
          <c:yMode val="edge"/>
          <c:x val="0.29758304751783327"/>
          <c:y val="3.0092592592592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538E-2"/>
          <c:y val="0.20370416418946294"/>
          <c:w val="0.88821752265861031"/>
          <c:h val="0.516204870616479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'2010 Q4 Rd &amp; Bridge '!$M$47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Bridge'!$J$48:$J$50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'2010 Q4 Rd &amp; Bridge '!$M$48:$M$50</c:f>
              <c:numCache>
                <c:formatCode>0.00%</c:formatCode>
                <c:ptCount val="3"/>
                <c:pt idx="0">
                  <c:v>0.19863971840581357</c:v>
                </c:pt>
                <c:pt idx="1">
                  <c:v>0.85160351825254255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'2010 Q4 Rd &amp; Bridge '!$Q$47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Q4 Rd &amp; Bridge '!$Q$48:$Q$50</c:f>
              <c:numCache>
                <c:formatCode>0.00%</c:formatCode>
                <c:ptCount val="3"/>
                <c:pt idx="0">
                  <c:v>0.98445918019757017</c:v>
                </c:pt>
                <c:pt idx="1">
                  <c:v>0.77289966148316425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'2010 Q4 Rd &amp; Bridge '!$W$47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'2010 Q4 Rd &amp; Bridge '!$W$48:$W$50</c:f>
              <c:numCache>
                <c:formatCode>0.00%</c:formatCode>
                <c:ptCount val="3"/>
                <c:pt idx="0">
                  <c:v>5.5361839445895313</c:v>
                </c:pt>
                <c:pt idx="1">
                  <c:v>0.91724974077534116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710592"/>
        <c:axId val="113712128"/>
      </c:barChart>
      <c:catAx>
        <c:axId val="11371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3712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71212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3710592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19636732524998"/>
          <c:y val="0.93287255759696708"/>
          <c:w val="0.60271903128673332"/>
          <c:h val="0.986113298337707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6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578112"/>
        <c:axId val="109579648"/>
      </c:barChart>
      <c:catAx>
        <c:axId val="10957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79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9579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78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508224"/>
        <c:axId val="123509760"/>
      </c:barChart>
      <c:catAx>
        <c:axId val="1235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50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50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508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% of Road &amp; Bridge Fund Revenue 
Collected thru 3rd Quarter of Fiscal Year</a:t>
            </a:r>
          </a:p>
        </c:rich>
      </c:tx>
      <c:layout>
        <c:manualLayout>
          <c:xMode val="edge"/>
          <c:yMode val="edge"/>
          <c:x val="0.26619454112338414"/>
          <c:y val="4.00696428133228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Q3 Rd &amp; Bridge'!$M$16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Q3 Rd &amp; Bridge'!$M$17:$M$22</c:f>
              <c:numCache>
                <c:formatCode>0.00%</c:formatCode>
                <c:ptCount val="6"/>
                <c:pt idx="0">
                  <c:v>1.0038057733370864</c:v>
                </c:pt>
                <c:pt idx="1">
                  <c:v>1</c:v>
                </c:pt>
                <c:pt idx="2">
                  <c:v>0.50926226082068571</c:v>
                </c:pt>
                <c:pt idx="3">
                  <c:v>0.85282612821371917</c:v>
                </c:pt>
                <c:pt idx="4">
                  <c:v>0.55201428571428568</c:v>
                </c:pt>
                <c:pt idx="5">
                  <c:v>29.166</c:v>
                </c:pt>
              </c:numCache>
            </c:numRef>
          </c:val>
        </c:ser>
        <c:ser>
          <c:idx val="4"/>
          <c:order val="1"/>
          <c:tx>
            <c:strRef>
              <c:f>'2013 Q3 Rd &amp; Bridge'!$P$16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Q3 Rd &amp; Bridge'!$P$17:$P$22</c:f>
              <c:numCache>
                <c:formatCode>0.00%</c:formatCode>
                <c:ptCount val="6"/>
                <c:pt idx="0">
                  <c:v>1.006615685412497</c:v>
                </c:pt>
                <c:pt idx="1">
                  <c:v>0.73384615384615381</c:v>
                </c:pt>
                <c:pt idx="2">
                  <c:v>0.89236157251504034</c:v>
                </c:pt>
                <c:pt idx="3">
                  <c:v>0.79255239735859895</c:v>
                </c:pt>
                <c:pt idx="4">
                  <c:v>0.53603888888888884</c:v>
                </c:pt>
                <c:pt idx="5">
                  <c:v>12.112533333333333</c:v>
                </c:pt>
              </c:numCache>
            </c:numRef>
          </c:val>
        </c:ser>
        <c:ser>
          <c:idx val="3"/>
          <c:order val="2"/>
          <c:tx>
            <c:strRef>
              <c:f>'2013 Q3 Rd &amp; Bridge'!$T$16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Q3 Rd &amp; Bridge'!$T$17:$T$22</c:f>
              <c:numCache>
                <c:formatCode>0.00%</c:formatCode>
                <c:ptCount val="6"/>
                <c:pt idx="0" formatCode="General">
                  <c:v>0</c:v>
                </c:pt>
                <c:pt idx="1">
                  <c:v>0.79245283018867929</c:v>
                </c:pt>
                <c:pt idx="2">
                  <c:v>0.83252497865456276</c:v>
                </c:pt>
                <c:pt idx="3">
                  <c:v>0.68792545661943572</c:v>
                </c:pt>
                <c:pt idx="4">
                  <c:v>0.74721616169932492</c:v>
                </c:pt>
                <c:pt idx="5">
                  <c:v>0.10959796926454446</c:v>
                </c:pt>
              </c:numCache>
            </c:numRef>
          </c:val>
        </c:ser>
        <c:ser>
          <c:idx val="0"/>
          <c:order val="3"/>
          <c:tx>
            <c:strRef>
              <c:f>'2013 Q3 Rd &amp; Bridge'!$X$16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Q3 Rd &amp; Bridge'!$J$17:$J$22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Misc./Proceeds F/A Disp</c:v>
                </c:pt>
              </c:strCache>
            </c:strRef>
          </c:cat>
          <c:val>
            <c:numRef>
              <c:f>'2013 Q3 Rd &amp; Bridge'!$X$17:$X$22</c:f>
              <c:numCache>
                <c:formatCode>0.00%</c:formatCode>
                <c:ptCount val="6"/>
                <c:pt idx="0">
                  <c:v>0.99172160299435252</c:v>
                </c:pt>
                <c:pt idx="1">
                  <c:v>0.71739130434782605</c:v>
                </c:pt>
                <c:pt idx="2">
                  <c:v>0.82839814356337671</c:v>
                </c:pt>
                <c:pt idx="3">
                  <c:v>0.76837266809630345</c:v>
                </c:pt>
                <c:pt idx="4">
                  <c:v>0.67518010730944489</c:v>
                </c:pt>
                <c:pt idx="5">
                  <c:v>0.82110556446072813</c:v>
                </c:pt>
              </c:numCache>
            </c:numRef>
          </c:val>
        </c:ser>
        <c:ser>
          <c:idx val="1"/>
          <c:order val="4"/>
          <c:tx>
            <c:strRef>
              <c:f>'2013 Q3 Rd &amp; Bridge'!$AB$16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Q3 Rd &amp; Bridge'!$AB$17:$AB$22</c:f>
              <c:numCache>
                <c:formatCode>0.00%</c:formatCode>
                <c:ptCount val="6"/>
                <c:pt idx="0">
                  <c:v>0.98815243986499113</c:v>
                </c:pt>
                <c:pt idx="1">
                  <c:v>0.80487804878048785</c:v>
                </c:pt>
                <c:pt idx="2">
                  <c:v>0.67534116774376485</c:v>
                </c:pt>
                <c:pt idx="3">
                  <c:v>0.73079946077577229</c:v>
                </c:pt>
                <c:pt idx="4">
                  <c:v>0.74281194336499401</c:v>
                </c:pt>
                <c:pt idx="5">
                  <c:v>0.51244504713370209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23712"/>
        <c:axId val="124325248"/>
      </c:barChart>
      <c:catAx>
        <c:axId val="12432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12432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25248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323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973689645878443"/>
          <c:y val="0.89957066070533531"/>
          <c:w val="0.45054916807965378"/>
          <c:h val="5.673070866141732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% of Road &amp; Bridge Fund Expenditures 
Spent thru 3rd Quarter of Fiscal Year</a:t>
            </a:r>
          </a:p>
        </c:rich>
      </c:tx>
      <c:layout>
        <c:manualLayout>
          <c:xMode val="edge"/>
          <c:yMode val="edge"/>
          <c:x val="0.25077213955315197"/>
          <c:y val="3.3898345013967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Q3 Rd &amp; Bridge'!$M$47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Q3 Rd &amp; Bridge'!$M$48:$M$50</c:f>
              <c:numCache>
                <c:formatCode>0%</c:formatCode>
                <c:ptCount val="3"/>
                <c:pt idx="0">
                  <c:v>1.214329510616555</c:v>
                </c:pt>
                <c:pt idx="1">
                  <c:v>0.66703536601694702</c:v>
                </c:pt>
                <c:pt idx="2">
                  <c:v>0</c:v>
                </c:pt>
              </c:numCache>
            </c:numRef>
          </c:val>
        </c:ser>
        <c:ser>
          <c:idx val="4"/>
          <c:order val="1"/>
          <c:tx>
            <c:strRef>
              <c:f>'2013 Q3 Rd &amp; Bridge'!$P$47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Q3 Rd &amp; Bridge'!$P$48:$P$50</c:f>
              <c:numCache>
                <c:formatCode>0%</c:formatCode>
                <c:ptCount val="3"/>
                <c:pt idx="0">
                  <c:v>0</c:v>
                </c:pt>
                <c:pt idx="1">
                  <c:v>0.61925407664406795</c:v>
                </c:pt>
                <c:pt idx="2">
                  <c:v>0</c:v>
                </c:pt>
              </c:numCache>
            </c:numRef>
          </c:val>
        </c:ser>
        <c:ser>
          <c:idx val="3"/>
          <c:order val="2"/>
          <c:tx>
            <c:strRef>
              <c:f>'2013 Q3 Rd &amp; Bridge'!$T$47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Q3 Rd &amp; Bridge'!$T$48:$T$50</c:f>
              <c:numCache>
                <c:formatCode>0%</c:formatCode>
                <c:ptCount val="3"/>
                <c:pt idx="0">
                  <c:v>0</c:v>
                </c:pt>
                <c:pt idx="1">
                  <c:v>0.59785142709676831</c:v>
                </c:pt>
                <c:pt idx="2">
                  <c:v>0</c:v>
                </c:pt>
              </c:numCache>
            </c:numRef>
          </c:val>
        </c:ser>
        <c:ser>
          <c:idx val="0"/>
          <c:order val="3"/>
          <c:tx>
            <c:strRef>
              <c:f>'2013 Q3 Rd &amp; Bridge'!$X$47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Q3 Rd &amp; Bridge'!$J$48:$J$50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Miscellaneous</c:v>
                </c:pt>
              </c:strCache>
            </c:strRef>
          </c:cat>
          <c:val>
            <c:numRef>
              <c:f>'2013 Q3 Rd &amp; Bridge'!$X$48:$X$50</c:f>
              <c:numCache>
                <c:formatCode>0.00%</c:formatCode>
                <c:ptCount val="3"/>
                <c:pt idx="0">
                  <c:v>4.0498694220506413E-2</c:v>
                </c:pt>
                <c:pt idx="1">
                  <c:v>0.62700613190490562</c:v>
                </c:pt>
                <c:pt idx="2">
                  <c:v>0</c:v>
                </c:pt>
              </c:numCache>
            </c:numRef>
          </c:val>
        </c:ser>
        <c:ser>
          <c:idx val="1"/>
          <c:order val="4"/>
          <c:tx>
            <c:strRef>
              <c:f>'2013 Q3 Rd &amp; Bridge'!$AB$47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Q3 Rd &amp; Bridge'!$AB$48:$AB$50</c:f>
              <c:numCache>
                <c:formatCode>0.00%</c:formatCode>
                <c:ptCount val="3"/>
                <c:pt idx="0">
                  <c:v>0.77696695810151006</c:v>
                </c:pt>
                <c:pt idx="1">
                  <c:v>0.51495904305780682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25184"/>
        <c:axId val="27326720"/>
      </c:barChart>
      <c:catAx>
        <c:axId val="273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2732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326720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7325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1542068303408982"/>
          <c:y val="0.89957054191755426"/>
          <c:w val="0.45054916807965378"/>
          <c:h val="5.673070866141732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400"/>
              <a:t>FY 2013  Road &amp; Bridge Fund Revenue by Source</a:t>
            </a:r>
          </a:p>
        </c:rich>
      </c:tx>
      <c:layout>
        <c:manualLayout>
          <c:xMode val="edge"/>
          <c:yMode val="edge"/>
          <c:x val="0.19820609280899124"/>
          <c:y val="5.021052881984917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Q2 Rd &amp; Bridge '!$D$16</c:f>
              <c:strCache>
                <c:ptCount val="1"/>
                <c:pt idx="0">
                  <c:v>YTD Collections as of 4/15/13</c:v>
                </c:pt>
              </c:strCache>
            </c:strRef>
          </c:tx>
          <c:invertIfNegative val="0"/>
          <c:cat>
            <c:strRef>
              <c:f>'2013 Q2 Rd &amp; Bridge 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Misc./Proceeds F/A Disp</c:v>
                </c:pt>
              </c:strCache>
            </c:strRef>
          </c:cat>
          <c:val>
            <c:numRef>
              <c:f>'2013 Q2 Rd &amp; Bridge '!$D$17:$D$22</c:f>
              <c:numCache>
                <c:formatCode>#,##0_);[Red]\(#,##0\)</c:formatCode>
                <c:ptCount val="6"/>
                <c:pt idx="0" formatCode="&quot;$&quot;#,##0_);[Red]\(&quot;$&quot;#,##0\)">
                  <c:v>2198846</c:v>
                </c:pt>
                <c:pt idx="1">
                  <c:v>1431</c:v>
                </c:pt>
                <c:pt idx="2">
                  <c:v>5500208</c:v>
                </c:pt>
                <c:pt idx="3">
                  <c:v>917460</c:v>
                </c:pt>
                <c:pt idx="4">
                  <c:v>52657</c:v>
                </c:pt>
                <c:pt idx="5">
                  <c:v>115122</c:v>
                </c:pt>
              </c:numCache>
            </c:numRef>
          </c:val>
        </c:ser>
        <c:ser>
          <c:idx val="1"/>
          <c:order val="1"/>
          <c:tx>
            <c:strRef>
              <c:f>'2013 Q2 Rd &amp; Bridge '!$H$16</c:f>
              <c:strCache>
                <c:ptCount val="1"/>
              </c:strCache>
            </c:strRef>
          </c:tx>
          <c:spPr>
            <a:pattFill prst="wdDn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2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3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4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5"/>
            <c:invertIfNegative val="0"/>
            <c:bubble3D val="0"/>
            <c:spPr>
              <a:pattFill prst="dk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6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cat>
            <c:strRef>
              <c:f>'2013 Q2 Rd &amp; Bridge 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Misc./Proceeds F/A Disp</c:v>
                </c:pt>
              </c:strCache>
            </c:strRef>
          </c:cat>
          <c:val>
            <c:numRef>
              <c:f>'2013 Q2 Rd &amp; Bridge '!$H$17:$H$22</c:f>
              <c:numCache>
                <c:formatCode>#,##0_);[Red]\(#,##0\)</c:formatCode>
                <c:ptCount val="6"/>
                <c:pt idx="0" formatCode="&quot;$&quot;#,##0_);[Red]\(&quot;$&quot;#,##0\)">
                  <c:v>32238</c:v>
                </c:pt>
                <c:pt idx="1">
                  <c:v>0</c:v>
                </c:pt>
                <c:pt idx="2">
                  <c:v>9507413</c:v>
                </c:pt>
                <c:pt idx="3">
                  <c:v>789752</c:v>
                </c:pt>
                <c:pt idx="4">
                  <c:v>87343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527232"/>
        <c:axId val="28529408"/>
      </c:barChart>
      <c:lineChart>
        <c:grouping val="stacked"/>
        <c:varyColors val="0"/>
        <c:ser>
          <c:idx val="2"/>
          <c:order val="2"/>
          <c:tx>
            <c:strRef>
              <c:f>'2013 Q2 Rd &amp; Bridge '!$I$16</c:f>
              <c:strCache>
                <c:ptCount val="1"/>
                <c:pt idx="0">
                  <c:v>50%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Q2 Rd &amp; Bridge '!$I$17:$I$22</c:f>
              <c:numCache>
                <c:formatCode>0%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27232"/>
        <c:axId val="28529408"/>
      </c:lineChart>
      <c:catAx>
        <c:axId val="2852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2852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294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8527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061100646223087"/>
          <c:y val="0.93239554914790579"/>
          <c:w val="0.47988081727525517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FY 2013 Road &amp; Bridge Fund Expenditures by Function Area</a:t>
            </a:r>
          </a:p>
        </c:rich>
      </c:tx>
      <c:layout>
        <c:manualLayout>
          <c:xMode val="edge"/>
          <c:yMode val="edge"/>
          <c:x val="0.20371178737108372"/>
          <c:y val="1.40845868515119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Q2 Rd &amp; Bridge '!$D$47</c:f>
              <c:strCache>
                <c:ptCount val="1"/>
                <c:pt idx="0">
                  <c:v>YTD Expenditures as of 4/15/13</c:v>
                </c:pt>
              </c:strCache>
            </c:strRef>
          </c:tx>
          <c:invertIfNegative val="0"/>
          <c:cat>
            <c:strRef>
              <c:f>'2013 Q2 Rd &amp; Bridge '!$A$48:$B$50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Miscellaneous</c:v>
                </c:pt>
              </c:strCache>
            </c:strRef>
          </c:cat>
          <c:val>
            <c:numRef>
              <c:f>'2013 Q2 Rd &amp; Bridge '!$D$48:$D$50</c:f>
              <c:numCache>
                <c:formatCode>#,##0_);[Red]\(#,##0\)</c:formatCode>
                <c:ptCount val="3"/>
                <c:pt idx="0" formatCode="&quot;$&quot;#,##0_);[Red]\(&quot;$&quot;#,##0\)">
                  <c:v>53172</c:v>
                </c:pt>
                <c:pt idx="1">
                  <c:v>8228702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'2013 Q2 Rd &amp; Bridge '!$H$47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wdDn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2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3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4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5"/>
            <c:invertIfNegative val="0"/>
            <c:bubble3D val="0"/>
            <c:spPr>
              <a:pattFill prst="dk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6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cat>
            <c:strRef>
              <c:f>'2013 Q2 Rd &amp; Bridge '!$A$48:$B$50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Miscellaneous</c:v>
                </c:pt>
              </c:strCache>
            </c:strRef>
          </c:cat>
          <c:val>
            <c:numRef>
              <c:f>'2013 Q2 Rd &amp; Bridge '!$H$48:$H$50</c:f>
              <c:numCache>
                <c:formatCode>#,##0</c:formatCode>
                <c:ptCount val="3"/>
                <c:pt idx="0" formatCode="&quot;$&quot;#,##0_);[Red]\(&quot;$&quot;#,##0\)">
                  <c:v>0</c:v>
                </c:pt>
                <c:pt idx="1">
                  <c:v>12272193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546176"/>
        <c:axId val="28548096"/>
      </c:barChart>
      <c:lineChart>
        <c:grouping val="stacked"/>
        <c:varyColors val="0"/>
        <c:ser>
          <c:idx val="2"/>
          <c:order val="2"/>
          <c:tx>
            <c:strRef>
              <c:f>'2013 Q2 Rd &amp; Bridge '!$G$47</c:f>
              <c:strCache>
                <c:ptCount val="1"/>
                <c:pt idx="0">
                  <c:v>50%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Q2 Rd &amp; Bridge '!$I$48:$I$50</c:f>
              <c:numCache>
                <c:formatCode>0%</c:formatCode>
                <c:ptCount val="3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46176"/>
        <c:axId val="28548096"/>
      </c:lineChart>
      <c:catAx>
        <c:axId val="2854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285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48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8546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061100646223087"/>
          <c:y val="0.93239554914790579"/>
          <c:w val="0.47988081727525517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58080"/>
        <c:axId val="28559616"/>
      </c:barChart>
      <c:catAx>
        <c:axId val="2855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5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59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580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FY 2013 Road &amp; Bridge Fund Expenditures by Function Area</a:t>
            </a:r>
          </a:p>
        </c:rich>
      </c:tx>
      <c:layout>
        <c:manualLayout>
          <c:xMode val="edge"/>
          <c:yMode val="edge"/>
          <c:x val="0.20371178737108372"/>
          <c:y val="1.40845868515119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Q4 Rd &amp; Bridge)'!$D$47</c:f>
              <c:strCache>
                <c:ptCount val="1"/>
                <c:pt idx="0">
                  <c:v>YTD Expenditures as of 10/7/13</c:v>
                </c:pt>
              </c:strCache>
            </c:strRef>
          </c:tx>
          <c:invertIfNegative val="0"/>
          <c:cat>
            <c:strRef>
              <c:f>'2013 Q4 Rd &amp; Bridge)'!$A$48:$B$50</c:f>
              <c:strCache>
                <c:ptCount val="2"/>
                <c:pt idx="0">
                  <c:v>Conservation</c:v>
                </c:pt>
                <c:pt idx="1">
                  <c:v>Public Transport</c:v>
                </c:pt>
              </c:strCache>
            </c:strRef>
          </c:cat>
          <c:val>
            <c:numRef>
              <c:f>'2013 Q4 Rd &amp; Bridge)'!$D$48:$D$50</c:f>
              <c:numCache>
                <c:formatCode>#,##0_);[Red]\(#,##0\)</c:formatCode>
                <c:ptCount val="2"/>
                <c:pt idx="0" formatCode="&quot;$&quot;#,##0_);[Red]\(&quot;$&quot;#,##0\)">
                  <c:v>53473</c:v>
                </c:pt>
                <c:pt idx="1">
                  <c:v>18572422</c:v>
                </c:pt>
              </c:numCache>
            </c:numRef>
          </c:val>
        </c:ser>
        <c:ser>
          <c:idx val="1"/>
          <c:order val="1"/>
          <c:tx>
            <c:strRef>
              <c:f>'2013 Q4 Rd &amp; Bridge)'!$H$47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wdDn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2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3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4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5"/>
            <c:invertIfNegative val="0"/>
            <c:bubble3D val="0"/>
            <c:spPr>
              <a:pattFill prst="dk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6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cat>
            <c:strRef>
              <c:f>'2013 Q4 Rd &amp; Bridge)'!$A$48:$B$50</c:f>
              <c:strCache>
                <c:ptCount val="2"/>
                <c:pt idx="0">
                  <c:v>Conservation</c:v>
                </c:pt>
                <c:pt idx="1">
                  <c:v>Public Transport</c:v>
                </c:pt>
              </c:strCache>
            </c:strRef>
          </c:cat>
          <c:val>
            <c:numRef>
              <c:f>'2013 Q4 Rd &amp; Bridge)'!$H$48:$H$50</c:f>
              <c:numCache>
                <c:formatCode>#,##0</c:formatCode>
                <c:ptCount val="2"/>
                <c:pt idx="0">
                  <c:v>0</c:v>
                </c:pt>
                <c:pt idx="1">
                  <c:v>1928473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950016"/>
        <c:axId val="122951936"/>
      </c:barChart>
      <c:lineChart>
        <c:grouping val="stacked"/>
        <c:varyColors val="0"/>
        <c:ser>
          <c:idx val="2"/>
          <c:order val="2"/>
          <c:tx>
            <c:strRef>
              <c:f>'2013 Q4 Rd &amp; Bridge)'!$G$47</c:f>
              <c:strCache>
                <c:ptCount val="1"/>
                <c:pt idx="0">
                  <c:v>100%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Q4 Rd &amp; Bridge)'!$I$48:$I$50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50016"/>
        <c:axId val="122951936"/>
      </c:lineChart>
      <c:catAx>
        <c:axId val="12295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12295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9519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2950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124900384246734"/>
          <c:y val="0.93239554914790579"/>
          <c:w val="0.63497609691622503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73696"/>
        <c:axId val="28575232"/>
      </c:barChart>
      <c:catAx>
        <c:axId val="2857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7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75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73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84960"/>
        <c:axId val="28607232"/>
      </c:barChart>
      <c:catAx>
        <c:axId val="2858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607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607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84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54528"/>
        <c:axId val="28966912"/>
      </c:barChart>
      <c:catAx>
        <c:axId val="288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96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966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854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% of Road &amp; Bridge Fund Revenue 
Collected  2nd Quarter of Fiscal Year</a:t>
            </a:r>
          </a:p>
        </c:rich>
      </c:tx>
      <c:layout>
        <c:manualLayout>
          <c:xMode val="edge"/>
          <c:yMode val="edge"/>
          <c:x val="0.26422440181918722"/>
          <c:y val="3.38983915629762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Q2 Rd &amp; Bridge '!$M$16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Q2 Rd &amp; Bridge '!$M$17:$M$22</c:f>
              <c:numCache>
                <c:formatCode>0.00%</c:formatCode>
                <c:ptCount val="6"/>
                <c:pt idx="0">
                  <c:v>0.98555052162984447</c:v>
                </c:pt>
                <c:pt idx="1">
                  <c:v>1</c:v>
                </c:pt>
                <c:pt idx="2">
                  <c:v>0.36649432978084934</c:v>
                </c:pt>
                <c:pt idx="3">
                  <c:v>0.53740250185682858</c:v>
                </c:pt>
                <c:pt idx="4">
                  <c:v>0.37612142857142855</c:v>
                </c:pt>
                <c:pt idx="5">
                  <c:v>23.0244</c:v>
                </c:pt>
              </c:numCache>
            </c:numRef>
          </c:val>
        </c:ser>
        <c:ser>
          <c:idx val="4"/>
          <c:order val="1"/>
          <c:tx>
            <c:strRef>
              <c:f>'2013 Q2 Rd &amp; Bridge '!$P$16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Q2 Rd &amp; Bridge '!$P$17:$P$22</c:f>
              <c:numCache>
                <c:formatCode>0.00%</c:formatCode>
                <c:ptCount val="6"/>
                <c:pt idx="0">
                  <c:v>0.98697502227055545</c:v>
                </c:pt>
                <c:pt idx="1">
                  <c:v>0.43615384615384617</c:v>
                </c:pt>
                <c:pt idx="2">
                  <c:v>0.4187044383064058</c:v>
                </c:pt>
                <c:pt idx="3">
                  <c:v>0.50613207005455063</c:v>
                </c:pt>
                <c:pt idx="4">
                  <c:v>0.36554999999999999</c:v>
                </c:pt>
                <c:pt idx="5">
                  <c:v>11.961109333333335</c:v>
                </c:pt>
              </c:numCache>
            </c:numRef>
          </c:val>
        </c:ser>
        <c:ser>
          <c:idx val="3"/>
          <c:order val="2"/>
          <c:tx>
            <c:strRef>
              <c:f>'2013 Q2 Rd &amp; Bridge '!$T$16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Q2 Rd &amp; Bridge '!$T$17:$T$22</c:f>
              <c:numCache>
                <c:formatCode>0.00%</c:formatCode>
                <c:ptCount val="6"/>
                <c:pt idx="0" formatCode="General">
                  <c:v>0</c:v>
                </c:pt>
                <c:pt idx="1">
                  <c:v>0.4779874213836478</c:v>
                </c:pt>
                <c:pt idx="2">
                  <c:v>0.43043573020585746</c:v>
                </c:pt>
                <c:pt idx="3">
                  <c:v>0.44531368964995943</c:v>
                </c:pt>
                <c:pt idx="4">
                  <c:v>0.48847357154618803</c:v>
                </c:pt>
                <c:pt idx="5">
                  <c:v>6.6959385290889128E-2</c:v>
                </c:pt>
              </c:numCache>
            </c:numRef>
          </c:val>
        </c:ser>
        <c:ser>
          <c:idx val="0"/>
          <c:order val="3"/>
          <c:tx>
            <c:strRef>
              <c:f>'2013 Q2 Rd &amp; Bridge '!$X$16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Q2 Rd &amp; Bridge '!$J$17:$J$22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Misc./Proceeds F/A Disp</c:v>
                </c:pt>
              </c:strCache>
            </c:strRef>
          </c:cat>
          <c:val>
            <c:numRef>
              <c:f>'2013 Q2 Rd &amp; Bridge '!$X$17:$X$22</c:f>
              <c:numCache>
                <c:formatCode>0.00%</c:formatCode>
                <c:ptCount val="6"/>
                <c:pt idx="0">
                  <c:v>0.96705851951068955</c:v>
                </c:pt>
                <c:pt idx="1">
                  <c:v>0.38043478260869568</c:v>
                </c:pt>
                <c:pt idx="2">
                  <c:v>0.46722792512781441</c:v>
                </c:pt>
                <c:pt idx="3">
                  <c:v>0.42139956439364945</c:v>
                </c:pt>
                <c:pt idx="4">
                  <c:v>0.41996490423935218</c:v>
                </c:pt>
                <c:pt idx="5">
                  <c:v>0.57642241050301513</c:v>
                </c:pt>
              </c:numCache>
            </c:numRef>
          </c:val>
        </c:ser>
        <c:ser>
          <c:idx val="1"/>
          <c:order val="4"/>
          <c:tx>
            <c:strRef>
              <c:f>'2013 Q2 Rd &amp; Bridge '!$AB$16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Q2 Rd &amp; Bridge '!$AB$17:$AB$22</c:f>
              <c:numCache>
                <c:formatCode>0.00%</c:formatCode>
                <c:ptCount val="6"/>
                <c:pt idx="0">
                  <c:v>0.96555208887880262</c:v>
                </c:pt>
                <c:pt idx="1">
                  <c:v>0.6097560975609756</c:v>
                </c:pt>
                <c:pt idx="2">
                  <c:v>0.50879177744357451</c:v>
                </c:pt>
                <c:pt idx="3">
                  <c:v>0.48126469291426338</c:v>
                </c:pt>
                <c:pt idx="4">
                  <c:v>0.50122134045043798</c:v>
                </c:pt>
                <c:pt idx="5">
                  <c:v>0.21702767267168743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78176"/>
        <c:axId val="28979968"/>
      </c:barChart>
      <c:catAx>
        <c:axId val="2897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2897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979968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8978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973689645878443"/>
          <c:y val="0.89957066070533531"/>
          <c:w val="0.45054916807965378"/>
          <c:h val="5.673070866141732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% of Road &amp; Bridge Fund Expenditures 
Spent  2nd Quarter of Fiscal Year</a:t>
            </a:r>
          </a:p>
        </c:rich>
      </c:tx>
      <c:layout>
        <c:manualLayout>
          <c:xMode val="edge"/>
          <c:yMode val="edge"/>
          <c:x val="0.25077213955315197"/>
          <c:y val="3.3898345013967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Q2 Rd &amp; Bridge '!$M$47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Q2 Rd &amp; Bridge '!$M$48:$M$50</c:f>
              <c:numCache>
                <c:formatCode>0%</c:formatCode>
                <c:ptCount val="3"/>
                <c:pt idx="0">
                  <c:v>1.2074940388327466</c:v>
                </c:pt>
                <c:pt idx="1">
                  <c:v>0.40138257378519326</c:v>
                </c:pt>
                <c:pt idx="2">
                  <c:v>0</c:v>
                </c:pt>
              </c:numCache>
            </c:numRef>
          </c:val>
        </c:ser>
        <c:ser>
          <c:idx val="4"/>
          <c:order val="1"/>
          <c:tx>
            <c:strRef>
              <c:f>'2013 Q2 Rd &amp; Bridge '!$P$47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Q2 Rd &amp; Bridge '!$P$48:$P$50</c:f>
              <c:numCache>
                <c:formatCode>0%</c:formatCode>
                <c:ptCount val="3"/>
                <c:pt idx="0">
                  <c:v>0</c:v>
                </c:pt>
                <c:pt idx="1">
                  <c:v>0.45384060564706141</c:v>
                </c:pt>
                <c:pt idx="2">
                  <c:v>0</c:v>
                </c:pt>
              </c:numCache>
            </c:numRef>
          </c:val>
        </c:ser>
        <c:ser>
          <c:idx val="3"/>
          <c:order val="2"/>
          <c:tx>
            <c:strRef>
              <c:f>'2013 Q2 Rd &amp; Bridge '!$T$47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Q2 Rd &amp; Bridge '!$T$48:$T$50</c:f>
              <c:numCache>
                <c:formatCode>0%</c:formatCode>
                <c:ptCount val="3"/>
                <c:pt idx="0">
                  <c:v>0</c:v>
                </c:pt>
                <c:pt idx="1">
                  <c:v>0.39684243873405506</c:v>
                </c:pt>
                <c:pt idx="2">
                  <c:v>0</c:v>
                </c:pt>
              </c:numCache>
            </c:numRef>
          </c:val>
        </c:ser>
        <c:ser>
          <c:idx val="0"/>
          <c:order val="3"/>
          <c:tx>
            <c:strRef>
              <c:f>'2013 Q2 Rd &amp; Bridge '!$X$47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Q2 Rd &amp; Bridge '!$J$48:$J$50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Miscellaneous</c:v>
                </c:pt>
              </c:strCache>
            </c:strRef>
          </c:cat>
          <c:val>
            <c:numRef>
              <c:f>'2013 Q2 Rd &amp; Bridge '!$X$48:$X$50</c:f>
              <c:numCache>
                <c:formatCode>0.00%</c:formatCode>
                <c:ptCount val="3"/>
                <c:pt idx="0">
                  <c:v>4.0498694220506413E-2</c:v>
                </c:pt>
                <c:pt idx="1">
                  <c:v>0.34271432567549881</c:v>
                </c:pt>
                <c:pt idx="2">
                  <c:v>0</c:v>
                </c:pt>
              </c:numCache>
            </c:numRef>
          </c:val>
        </c:ser>
        <c:ser>
          <c:idx val="1"/>
          <c:order val="4"/>
          <c:tx>
            <c:strRef>
              <c:f>'2013 Q2 Rd &amp; Bridge '!$AB$47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Q2 Rd &amp; Bridge '!$AB$48:$AB$50</c:f>
              <c:numCache>
                <c:formatCode>0.00%</c:formatCode>
                <c:ptCount val="3"/>
                <c:pt idx="0">
                  <c:v>0.77696695810151006</c:v>
                </c:pt>
                <c:pt idx="1">
                  <c:v>0.3460491116765198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02464"/>
        <c:axId val="29104000"/>
      </c:barChart>
      <c:catAx>
        <c:axId val="291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29104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104000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9102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1542068303408982"/>
          <c:y val="0.89957054191755426"/>
          <c:w val="0.45054916807965378"/>
          <c:h val="5.673070866141732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400"/>
              <a:t>FY 2013  Road &amp; Bridge Fund Revenue by Source</a:t>
            </a:r>
          </a:p>
        </c:rich>
      </c:tx>
      <c:layout>
        <c:manualLayout>
          <c:xMode val="edge"/>
          <c:yMode val="edge"/>
          <c:x val="0.19820609280899124"/>
          <c:y val="5.021052881984917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Q1 Rd &amp; Bridge '!$D$16</c:f>
              <c:strCache>
                <c:ptCount val="1"/>
                <c:pt idx="0">
                  <c:v>YTD Collections as of 1/15/13</c:v>
                </c:pt>
              </c:strCache>
            </c:strRef>
          </c:tx>
          <c:invertIfNegative val="0"/>
          <c:cat>
            <c:strRef>
              <c:f>'2013 Q1 Rd &amp; Bridge 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'2013 Q1 Rd &amp; Bridge '!$D$17:$D$22</c:f>
              <c:numCache>
                <c:formatCode>#,##0_);[Red]\(#,##0\)</c:formatCode>
                <c:ptCount val="6"/>
                <c:pt idx="0" formatCode="&quot;$&quot;#,##0_);[Red]\(&quot;$&quot;#,##0\)">
                  <c:v>1259018</c:v>
                </c:pt>
                <c:pt idx="1">
                  <c:v>477</c:v>
                </c:pt>
                <c:pt idx="2">
                  <c:v>2445684</c:v>
                </c:pt>
                <c:pt idx="3">
                  <c:v>469471</c:v>
                </c:pt>
                <c:pt idx="4">
                  <c:v>26448</c:v>
                </c:pt>
                <c:pt idx="5">
                  <c:v>8529</c:v>
                </c:pt>
              </c:numCache>
            </c:numRef>
          </c:val>
        </c:ser>
        <c:ser>
          <c:idx val="1"/>
          <c:order val="1"/>
          <c:tx>
            <c:strRef>
              <c:f>'2013 Q1 Rd &amp; Bridge '!$H$16</c:f>
              <c:strCache>
                <c:ptCount val="1"/>
              </c:strCache>
            </c:strRef>
          </c:tx>
          <c:spPr>
            <a:pattFill prst="wdDn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2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3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4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5"/>
            <c:invertIfNegative val="0"/>
            <c:bubble3D val="0"/>
            <c:spPr>
              <a:pattFill prst="dk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6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cat>
            <c:strRef>
              <c:f>'2013 Q1 Rd &amp; Bridge 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'2013 Q1 Rd &amp; Bridge '!$H$17:$H$22</c:f>
              <c:numCache>
                <c:formatCode>#,##0_);[Red]\(#,##0\)</c:formatCode>
                <c:ptCount val="6"/>
                <c:pt idx="0" formatCode="&quot;$&quot;#,##0_);[Red]\(&quot;$&quot;#,##0\)">
                  <c:v>972066</c:v>
                </c:pt>
                <c:pt idx="1">
                  <c:v>0</c:v>
                </c:pt>
                <c:pt idx="2">
                  <c:v>12561937</c:v>
                </c:pt>
                <c:pt idx="3">
                  <c:v>1237741</c:v>
                </c:pt>
                <c:pt idx="4">
                  <c:v>113552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707072"/>
        <c:axId val="30713344"/>
      </c:barChart>
      <c:lineChart>
        <c:grouping val="stacked"/>
        <c:varyColors val="0"/>
        <c:ser>
          <c:idx val="2"/>
          <c:order val="2"/>
          <c:tx>
            <c:strRef>
              <c:f>'2013 Q1 Rd &amp; Bridge '!$I$16</c:f>
              <c:strCache>
                <c:ptCount val="1"/>
                <c:pt idx="0">
                  <c:v>25%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Q1 Rd &amp; Bridge '!$I$17:$I$22</c:f>
              <c:numCache>
                <c:formatCode>0%</c:formatCode>
                <c:ptCount val="6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07072"/>
        <c:axId val="30713344"/>
      </c:lineChart>
      <c:catAx>
        <c:axId val="3070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30713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7133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07070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061100646223087"/>
          <c:y val="0.93239554914790579"/>
          <c:w val="0.47988081727525517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FY 2013 Road &amp; Bridge Fund Expenditures by Function Area</a:t>
            </a:r>
          </a:p>
        </c:rich>
      </c:tx>
      <c:layout>
        <c:manualLayout>
          <c:xMode val="edge"/>
          <c:yMode val="edge"/>
          <c:x val="0.20371178737108372"/>
          <c:y val="1.40845868515119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Q1 Rd &amp; Bridge '!$D$47</c:f>
              <c:strCache>
                <c:ptCount val="1"/>
                <c:pt idx="0">
                  <c:v>YTD Expenditures as of 1/15/13</c:v>
                </c:pt>
              </c:strCache>
            </c:strRef>
          </c:tx>
          <c:invertIfNegative val="0"/>
          <c:cat>
            <c:strRef>
              <c:f>'2013 Q1 Rd &amp; Bridge '!$A$48:$B$50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Miscellaneous</c:v>
                </c:pt>
              </c:strCache>
            </c:strRef>
          </c:cat>
          <c:val>
            <c:numRef>
              <c:f>'2013 Q1 Rd &amp; Bridge '!$D$48:$D$50</c:f>
              <c:numCache>
                <c:formatCode>#,##0_);[Red]\(#,##0\)</c:formatCode>
                <c:ptCount val="3"/>
                <c:pt idx="0" formatCode="&quot;$&quot;#,##0_);[Red]\(&quot;$&quot;#,##0\)">
                  <c:v>17372</c:v>
                </c:pt>
                <c:pt idx="1">
                  <c:v>5251274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'2013 Q1 Rd &amp; Bridge '!$H$47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wdDn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2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3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4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5"/>
            <c:invertIfNegative val="0"/>
            <c:bubble3D val="0"/>
            <c:spPr>
              <a:pattFill prst="dk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6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cat>
            <c:strRef>
              <c:f>'2013 Q1 Rd &amp; Bridge '!$A$48:$B$50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Miscellaneous</c:v>
                </c:pt>
              </c:strCache>
            </c:strRef>
          </c:cat>
          <c:val>
            <c:numRef>
              <c:f>'2013 Q1 Rd &amp; Bridge '!$H$48:$H$50</c:f>
              <c:numCache>
                <c:formatCode>#,##0</c:formatCode>
                <c:ptCount val="3"/>
                <c:pt idx="0" formatCode="&quot;$&quot;#,##0_);[Red]\(&quot;$&quot;#,##0\)">
                  <c:v>26663</c:v>
                </c:pt>
                <c:pt idx="1">
                  <c:v>15249621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734208"/>
        <c:axId val="30801920"/>
      </c:barChart>
      <c:lineChart>
        <c:grouping val="stacked"/>
        <c:varyColors val="0"/>
        <c:ser>
          <c:idx val="2"/>
          <c:order val="2"/>
          <c:tx>
            <c:strRef>
              <c:f>'2013 Q1 Rd &amp; Bridge '!$G$47</c:f>
              <c:strCache>
                <c:ptCount val="1"/>
                <c:pt idx="0">
                  <c:v>25%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Q1 Rd &amp; Bridge '!$I$48:$I$50</c:f>
              <c:numCache>
                <c:formatCode>0%</c:formatCode>
                <c:ptCount val="3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34208"/>
        <c:axId val="30801920"/>
      </c:lineChart>
      <c:catAx>
        <c:axId val="3073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3080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8019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0734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061100646223087"/>
          <c:y val="0.93239554914790579"/>
          <c:w val="0.47988081727525517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15744"/>
        <c:axId val="30817280"/>
      </c:barChart>
      <c:catAx>
        <c:axId val="3081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1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81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157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39552"/>
        <c:axId val="30841088"/>
      </c:barChart>
      <c:catAx>
        <c:axId val="3083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4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841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39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59264"/>
        <c:axId val="30860800"/>
      </c:barChart>
      <c:catAx>
        <c:axId val="308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60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860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59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82400"/>
        <c:axId val="122983936"/>
      </c:barChart>
      <c:catAx>
        <c:axId val="12298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98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983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982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70528"/>
        <c:axId val="30872320"/>
      </c:barChart>
      <c:catAx>
        <c:axId val="3087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7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872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70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% of Road &amp; Bridge Fund Revenue 
Collected 1st Quarter of Fiscal Year</a:t>
            </a:r>
          </a:p>
        </c:rich>
      </c:tx>
      <c:layout>
        <c:manualLayout>
          <c:xMode val="edge"/>
          <c:yMode val="edge"/>
          <c:x val="0.26422440181918722"/>
          <c:y val="3.38983915629762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Q1 Rd &amp; Bridge '!$M$16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Q1 Rd &amp; Bridge '!$M$17:$M$22</c:f>
              <c:numCache>
                <c:formatCode>0.00%</c:formatCode>
                <c:ptCount val="6"/>
                <c:pt idx="0">
                  <c:v>0.5643077535404315</c:v>
                </c:pt>
                <c:pt idx="1">
                  <c:v>1</c:v>
                </c:pt>
                <c:pt idx="2">
                  <c:v>0.16296280403136512</c:v>
                </c:pt>
                <c:pt idx="3">
                  <c:v>0.2749927952708861</c:v>
                </c:pt>
                <c:pt idx="4">
                  <c:v>0.1889142857142857</c:v>
                </c:pt>
                <c:pt idx="5">
                  <c:v>1.7058</c:v>
                </c:pt>
              </c:numCache>
            </c:numRef>
          </c:val>
        </c:ser>
        <c:ser>
          <c:idx val="4"/>
          <c:order val="1"/>
          <c:tx>
            <c:strRef>
              <c:f>'2013 Q1 Rd &amp; Bridge '!$P$16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Q1 Rd &amp; Bridge '!$P$17:$P$22</c:f>
              <c:numCache>
                <c:formatCode>0.00%</c:formatCode>
                <c:ptCount val="6"/>
                <c:pt idx="0">
                  <c:v>0.44023323345326654</c:v>
                </c:pt>
                <c:pt idx="1">
                  <c:v>0.19384615384615383</c:v>
                </c:pt>
                <c:pt idx="2">
                  <c:v>0.12433410269022664</c:v>
                </c:pt>
                <c:pt idx="3">
                  <c:v>6.3734137238013203E-2</c:v>
                </c:pt>
                <c:pt idx="4">
                  <c:v>0.18608333333333332</c:v>
                </c:pt>
                <c:pt idx="5">
                  <c:v>0.1346</c:v>
                </c:pt>
              </c:numCache>
            </c:numRef>
          </c:val>
        </c:ser>
        <c:ser>
          <c:idx val="3"/>
          <c:order val="2"/>
          <c:tx>
            <c:strRef>
              <c:f>'2013 Q1 Rd &amp; Bridge '!$T$16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Q1 Rd &amp; Bridge '!$T$17:$T$22</c:f>
              <c:numCache>
                <c:formatCode>0.00%</c:formatCode>
                <c:ptCount val="6"/>
                <c:pt idx="0" formatCode="General">
                  <c:v>0</c:v>
                </c:pt>
                <c:pt idx="1">
                  <c:v>0.16352201257861634</c:v>
                </c:pt>
                <c:pt idx="2">
                  <c:v>0.12364529198700053</c:v>
                </c:pt>
                <c:pt idx="3">
                  <c:v>0.1740362546898836</c:v>
                </c:pt>
                <c:pt idx="4">
                  <c:v>0.29886382348098139</c:v>
                </c:pt>
                <c:pt idx="5">
                  <c:v>4.3393249176728869E-2</c:v>
                </c:pt>
              </c:numCache>
            </c:numRef>
          </c:val>
        </c:ser>
        <c:ser>
          <c:idx val="0"/>
          <c:order val="3"/>
          <c:tx>
            <c:strRef>
              <c:f>'2013 Q1 Rd &amp; Bridge '!$X$16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Q1 Rd &amp; Bridge '!$J$17:$J$22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'2013 Q1 Rd &amp; Bridge '!$X$17:$X$22</c:f>
              <c:numCache>
                <c:formatCode>0.00%</c:formatCode>
                <c:ptCount val="6"/>
                <c:pt idx="0">
                  <c:v>0.54043321244737508</c:v>
                </c:pt>
                <c:pt idx="1">
                  <c:v>0.21739130434782608</c:v>
                </c:pt>
                <c:pt idx="2">
                  <c:v>0.12470435832171482</c:v>
                </c:pt>
                <c:pt idx="3">
                  <c:v>0.23352223434160088</c:v>
                </c:pt>
                <c:pt idx="4">
                  <c:v>0.26070429687148927</c:v>
                </c:pt>
                <c:pt idx="5">
                  <c:v>0.23506678879474849</c:v>
                </c:pt>
              </c:numCache>
            </c:numRef>
          </c:val>
        </c:ser>
        <c:ser>
          <c:idx val="1"/>
          <c:order val="4"/>
          <c:tx>
            <c:strRef>
              <c:f>'2013 Q1 Rd &amp; Bridge '!$AB$16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Q1 Rd &amp; Bridge '!$AB$17:$AB$22</c:f>
              <c:numCache>
                <c:formatCode>0.00%</c:formatCode>
                <c:ptCount val="6"/>
                <c:pt idx="0">
                  <c:v>0.45221755781894113</c:v>
                </c:pt>
                <c:pt idx="1">
                  <c:v>0.42073170731707316</c:v>
                </c:pt>
                <c:pt idx="2">
                  <c:v>0.1091125078739188</c:v>
                </c:pt>
                <c:pt idx="3">
                  <c:v>0.2309762487173557</c:v>
                </c:pt>
                <c:pt idx="4">
                  <c:v>0.25664901760646508</c:v>
                </c:pt>
                <c:pt idx="5">
                  <c:v>2.7606752549885899E-2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94720"/>
        <c:axId val="30896512"/>
      </c:barChart>
      <c:catAx>
        <c:axId val="308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30896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89651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0894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973689645878443"/>
          <c:y val="0.89957066070533531"/>
          <c:w val="0.45054916807965378"/>
          <c:h val="5.673070866141732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% of Road &amp; Bridge Fund Expenditures 
Spent 1st Quarter of Fiscal Year</a:t>
            </a:r>
          </a:p>
        </c:rich>
      </c:tx>
      <c:layout>
        <c:manualLayout>
          <c:xMode val="edge"/>
          <c:yMode val="edge"/>
          <c:x val="0.25077213955315197"/>
          <c:y val="3.3898345013967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Q1 Rd &amp; Bridge '!$M$47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Q1 Rd &amp; Bridge '!$M$48:$M$50</c:f>
              <c:numCache>
                <c:formatCode>0%</c:formatCode>
                <c:ptCount val="3"/>
                <c:pt idx="0">
                  <c:v>0.39450437152265244</c:v>
                </c:pt>
                <c:pt idx="1">
                  <c:v>0.25614852424735601</c:v>
                </c:pt>
                <c:pt idx="2">
                  <c:v>0</c:v>
                </c:pt>
              </c:numCache>
            </c:numRef>
          </c:val>
        </c:ser>
        <c:ser>
          <c:idx val="4"/>
          <c:order val="1"/>
          <c:tx>
            <c:strRef>
              <c:f>'2013 Q1 Rd &amp; Bridge '!$P$47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Q1 Rd &amp; Bridge '!$P$48:$P$50</c:f>
              <c:numCache>
                <c:formatCode>0%</c:formatCode>
                <c:ptCount val="3"/>
                <c:pt idx="0">
                  <c:v>0</c:v>
                </c:pt>
                <c:pt idx="1">
                  <c:v>0.25514186588827553</c:v>
                </c:pt>
                <c:pt idx="2">
                  <c:v>0</c:v>
                </c:pt>
              </c:numCache>
            </c:numRef>
          </c:val>
        </c:ser>
        <c:ser>
          <c:idx val="3"/>
          <c:order val="2"/>
          <c:tx>
            <c:strRef>
              <c:f>'2013 Q1 Rd &amp; Bridge '!$T$47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Q1 Rd &amp; Bridge '!$T$48:$T$50</c:f>
              <c:numCache>
                <c:formatCode>0%</c:formatCode>
                <c:ptCount val="3"/>
                <c:pt idx="0">
                  <c:v>0</c:v>
                </c:pt>
                <c:pt idx="1">
                  <c:v>0.17653231502362066</c:v>
                </c:pt>
                <c:pt idx="2">
                  <c:v>0</c:v>
                </c:pt>
              </c:numCache>
            </c:numRef>
          </c:val>
        </c:ser>
        <c:ser>
          <c:idx val="0"/>
          <c:order val="3"/>
          <c:tx>
            <c:strRef>
              <c:f>'2013 Q1 Rd &amp; Bridge '!$X$47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Q1 Rd &amp; Bridge '!$J$48:$J$50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Miscellaneous</c:v>
                </c:pt>
              </c:strCache>
            </c:strRef>
          </c:cat>
          <c:val>
            <c:numRef>
              <c:f>'2013 Q1 Rd &amp; Bridge '!$X$48:$X$50</c:f>
              <c:numCache>
                <c:formatCode>0.00%</c:formatCode>
                <c:ptCount val="3"/>
                <c:pt idx="0">
                  <c:v>4.0498694220506413E-2</c:v>
                </c:pt>
                <c:pt idx="1">
                  <c:v>0.13855575538787468</c:v>
                </c:pt>
                <c:pt idx="2">
                  <c:v>0</c:v>
                </c:pt>
              </c:numCache>
            </c:numRef>
          </c:val>
        </c:ser>
        <c:ser>
          <c:idx val="1"/>
          <c:order val="4"/>
          <c:tx>
            <c:strRef>
              <c:f>'2013 Q1 Rd &amp; Bridge '!$AB$47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Q1 Rd &amp; Bridge '!$AB$48:$AB$50</c:f>
              <c:numCache>
                <c:formatCode>0.00%</c:formatCode>
                <c:ptCount val="3"/>
                <c:pt idx="0">
                  <c:v>0.3263149767230612</c:v>
                </c:pt>
                <c:pt idx="1">
                  <c:v>0.19537732639066857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28896"/>
        <c:axId val="30930432"/>
      </c:barChart>
      <c:catAx>
        <c:axId val="309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3093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93043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0928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1542068303408982"/>
          <c:y val="0.89957054191755426"/>
          <c:w val="0.45054916807965378"/>
          <c:h val="5.673070866141732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2012  Road &amp; Bridge Fund Revenue by Source</a:t>
            </a:r>
          </a:p>
        </c:rich>
      </c:tx>
      <c:layout>
        <c:manualLayout>
          <c:xMode val="edge"/>
          <c:yMode val="edge"/>
          <c:x val="0.25484349390823963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Q4 Rd &amp; Bridge'!$D$16</c:f>
              <c:strCache>
                <c:ptCount val="1"/>
                <c:pt idx="0">
                  <c:v>YTD Collections as of 10/08/12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Q4 Rd &amp; Bridge'!$A$17:$B$22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'2012 Q4 Rd &amp; Bridge'!$D$17:$D$22</c:f>
              <c:numCache>
                <c:formatCode>#,##0_);[Red]\(#,##0\)</c:formatCode>
                <c:ptCount val="6"/>
                <c:pt idx="0" formatCode="&quot;$&quot;#,##0_);[Red]\(&quot;$&quot;#,##0\)">
                  <c:v>2186788</c:v>
                </c:pt>
                <c:pt idx="1">
                  <c:v>1377</c:v>
                </c:pt>
                <c:pt idx="2">
                  <c:v>14061084</c:v>
                </c:pt>
                <c:pt idx="3">
                  <c:v>1812981</c:v>
                </c:pt>
                <c:pt idx="4">
                  <c:v>123399</c:v>
                </c:pt>
                <c:pt idx="5">
                  <c:v>193485</c:v>
                </c:pt>
              </c:numCache>
            </c:numRef>
          </c:val>
        </c:ser>
        <c:ser>
          <c:idx val="1"/>
          <c:order val="1"/>
          <c:tx>
            <c:strRef>
              <c:f>'2012 Q4 Rd &amp; Bridge'!$H$16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Q4 Rd &amp; Bridge'!$A$17:$B$22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'2012 Q4 Rd &amp; Bridge'!$H$17:$H$22</c:f>
              <c:numCache>
                <c:formatCode>"$"#,##0_);[Red]\("$"#,##0\)</c:formatCode>
                <c:ptCount val="6"/>
                <c:pt idx="0">
                  <c:v>0</c:v>
                </c:pt>
                <c:pt idx="1">
                  <c:v>0</c:v>
                </c:pt>
                <c:pt idx="2" formatCode="#,##0_);[Red]\(#,##0\)">
                  <c:v>0</c:v>
                </c:pt>
                <c:pt idx="3" formatCode="#,##0_);[Red]\(#,##0\)">
                  <c:v>0</c:v>
                </c:pt>
                <c:pt idx="4" formatCode="#,##0_);[Red]\(#,##0\)">
                  <c:v>56601</c:v>
                </c:pt>
                <c:pt idx="5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961024"/>
        <c:axId val="30967296"/>
      </c:barChart>
      <c:lineChart>
        <c:grouping val="stacked"/>
        <c:varyColors val="0"/>
        <c:ser>
          <c:idx val="2"/>
          <c:order val="2"/>
          <c:tx>
            <c:strRef>
              <c:f>'2012 Q4 Rd &amp; Bridge'!$I$16</c:f>
              <c:strCache>
                <c:ptCount val="1"/>
                <c:pt idx="0">
                  <c:v>100%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Q4 Rd &amp; Bridge'!$I$17:$I$22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024"/>
        <c:axId val="30967296"/>
      </c:lineChart>
      <c:catAx>
        <c:axId val="309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0967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967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09610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061100986830796"/>
          <c:y val="0.93239554914790579"/>
          <c:w val="0.47988080092608515"/>
          <c:h val="5.91549295774648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2012 Road &amp; Bridge Fund Expenditures by Function Area</a:t>
            </a:r>
          </a:p>
        </c:rich>
      </c:tx>
      <c:layout>
        <c:manualLayout>
          <c:xMode val="edge"/>
          <c:yMode val="edge"/>
          <c:x val="0.20119229637779995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84"/>
          <c:w val="0.87779433681073027"/>
          <c:h val="0.538461538461538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Q4 Rd &amp; Bridge'!$D$48</c:f>
              <c:strCache>
                <c:ptCount val="1"/>
                <c:pt idx="0">
                  <c:v>YTD Expenditures as of 10/08/12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Q4 Rd &amp; Bridge'!$A$49:$B$51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'2012 Q4 Rd &amp; Bridge'!$D$49:$D$51</c:f>
              <c:numCache>
                <c:formatCode>#,##0_);[Red]\(#,##0\)</c:formatCode>
                <c:ptCount val="3"/>
                <c:pt idx="0" formatCode="&quot;$&quot;#,##0_);[Red]\(&quot;$&quot;#,##0\)">
                  <c:v>0</c:v>
                </c:pt>
                <c:pt idx="1">
                  <c:v>16411920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'2012 Q4 Rd &amp; Bridge'!$H$48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Q4 Rd &amp; Bridge'!$A$49:$B$51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'2012 Q4 Rd &amp; Bridge'!$H$49:$H$51</c:f>
              <c:numCache>
                <c:formatCode>#,##0</c:formatCode>
                <c:ptCount val="3"/>
                <c:pt idx="0" formatCode="&quot;$&quot;#,##0_);[Red]\(&quot;$&quot;#,##0\)">
                  <c:v>44035</c:v>
                </c:pt>
                <c:pt idx="1">
                  <c:v>3432773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058368"/>
        <c:axId val="32068736"/>
      </c:barChart>
      <c:lineChart>
        <c:grouping val="stacked"/>
        <c:varyColors val="0"/>
        <c:ser>
          <c:idx val="2"/>
          <c:order val="2"/>
          <c:tx>
            <c:strRef>
              <c:f>'2012 Q4 Rd &amp; Bridge'!$G$48</c:f>
              <c:strCache>
                <c:ptCount val="1"/>
                <c:pt idx="0">
                  <c:v>100%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Q4 Rd &amp; Bridge'!$I$49:$I$51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8368"/>
        <c:axId val="32068736"/>
      </c:lineChart>
      <c:catAx>
        <c:axId val="3205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068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068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058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570791642311088"/>
          <c:y val="0.92548076923076927"/>
          <c:w val="0.53502229251911193"/>
          <c:h val="5.288461538461541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090752"/>
        <c:axId val="32092544"/>
      </c:barChart>
      <c:catAx>
        <c:axId val="320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09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092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0907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30944"/>
        <c:axId val="32132480"/>
      </c:barChart>
      <c:catAx>
        <c:axId val="321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13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13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130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95712"/>
        <c:axId val="32197248"/>
      </c:barChart>
      <c:catAx>
        <c:axId val="3219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197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197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195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44096"/>
        <c:axId val="32245632"/>
      </c:barChart>
      <c:catAx>
        <c:axId val="3224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24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245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244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Road &amp; Bridge Fund Revenue 
Collected thru 4th Quarter of Fiscal Year</a:t>
            </a:r>
          </a:p>
        </c:rich>
      </c:tx>
      <c:layout>
        <c:manualLayout>
          <c:xMode val="edge"/>
          <c:yMode val="edge"/>
          <c:x val="0.33284056255973782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'2012 Q4 Rd &amp; Bridge'!$AC$16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Q4 Rd &amp; Bridge'!$AC$17:$AC$22</c:f>
              <c:numCache>
                <c:formatCode>0.00%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0.99999999999999989</c:v>
                </c:pt>
              </c:numCache>
            </c:numRef>
          </c:val>
        </c:ser>
        <c:ser>
          <c:idx val="1"/>
          <c:order val="1"/>
          <c:tx>
            <c:strRef>
              <c:f>'2012 Q4 Rd &amp; Bridge'!$Y$16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Q4 Rd &amp; Bridge'!$Y$17:$Y$22</c:f>
              <c:numCache>
                <c:formatCode>0.00%</c:formatCode>
                <c:ptCount val="6"/>
                <c:pt idx="0">
                  <c:v>0.99838171653184471</c:v>
                </c:pt>
                <c:pt idx="1">
                  <c:v>1</c:v>
                </c:pt>
                <c:pt idx="2">
                  <c:v>0.99521636221469334</c:v>
                </c:pt>
                <c:pt idx="3">
                  <c:v>0.98959261788125985</c:v>
                </c:pt>
                <c:pt idx="4">
                  <c:v>0.96810488992582</c:v>
                </c:pt>
                <c:pt idx="5">
                  <c:v>0.99999863301327596</c:v>
                </c:pt>
              </c:numCache>
            </c:numRef>
          </c:val>
        </c:ser>
        <c:ser>
          <c:idx val="0"/>
          <c:order val="2"/>
          <c:tx>
            <c:strRef>
              <c:f>'2012 Q4 Rd &amp; Bridge'!$U$16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Q4 Rd &amp; Bridge'!$J$17:$J$22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'2012 Q4 Rd &amp; Bridge'!$U$17:$U$22</c:f>
              <c:numCache>
                <c:formatCode>0.00%</c:formatCode>
                <c:ptCount val="6"/>
                <c:pt idx="0">
                  <c:v>0.9983544977848583</c:v>
                </c:pt>
                <c:pt idx="1">
                  <c:v>0.97826086956521741</c:v>
                </c:pt>
                <c:pt idx="2">
                  <c:v>0.98414593786963722</c:v>
                </c:pt>
                <c:pt idx="3">
                  <c:v>0.99420709719374112</c:v>
                </c:pt>
                <c:pt idx="4">
                  <c:v>0.91839278492275334</c:v>
                </c:pt>
                <c:pt idx="5">
                  <c:v>4.271039309976338</c:v>
                </c:pt>
              </c:numCache>
            </c:numRef>
          </c:val>
        </c:ser>
        <c:ser>
          <c:idx val="3"/>
          <c:order val="3"/>
          <c:tx>
            <c:strRef>
              <c:f>'2012 Q4 Rd &amp; Bridge'!$Q$16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Q4 Rd &amp; Bridge'!$Q$17:$Q$22</c:f>
              <c:numCache>
                <c:formatCode>0.00%</c:formatCode>
                <c:ptCount val="6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0.96246706734727483</c:v>
                </c:pt>
                <c:pt idx="5">
                  <c:v>1.000051454445664</c:v>
                </c:pt>
              </c:numCache>
            </c:numRef>
          </c:val>
        </c:ser>
        <c:ser>
          <c:idx val="4"/>
          <c:order val="4"/>
          <c:tx>
            <c:strRef>
              <c:f>'2012 Q4 Rd &amp; Bridge'!$M$16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Q4 Rd &amp; Bridge'!$M$17:$M$22</c:f>
              <c:numCache>
                <c:formatCode>0.00%</c:formatCode>
                <c:ptCount val="6"/>
                <c:pt idx="0">
                  <c:v>1.0119684857179216</c:v>
                </c:pt>
                <c:pt idx="1">
                  <c:v>1.0592307692307692</c:v>
                </c:pt>
                <c:pt idx="2">
                  <c:v>1.0640647773279353</c:v>
                </c:pt>
                <c:pt idx="3">
                  <c:v>1.0410456503014642</c:v>
                </c:pt>
                <c:pt idx="4">
                  <c:v>0.68554999999999999</c:v>
                </c:pt>
                <c:pt idx="5">
                  <c:v>12.898999999999999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06304"/>
        <c:axId val="32307840"/>
      </c:barChart>
      <c:catAx>
        <c:axId val="3230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30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0784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306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751505772761067"/>
          <c:y val="0.91525690644601632"/>
          <c:w val="0.30111465113103641"/>
          <c:h val="5.87564690006969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010048"/>
        <c:axId val="123081472"/>
      </c:barChart>
      <c:catAx>
        <c:axId val="12301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08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081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010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Road &amp; Bridge Fund Expenditures 
Spent thru 4th Quarter of Fiscal Year</a:t>
            </a:r>
          </a:p>
        </c:rich>
      </c:tx>
      <c:layout>
        <c:manualLayout>
          <c:xMode val="edge"/>
          <c:yMode val="edge"/>
          <c:x val="0.29758313396666125"/>
          <c:y val="3.0092592592592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288E-2"/>
          <c:y val="0.20370416418946261"/>
          <c:w val="0.88821752265861031"/>
          <c:h val="0.5162048706164791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'2012 Q4 Rd &amp; Bridge'!$AE$48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Q4 Rd &amp; Bridge'!$AE$49:$AE$51</c:f>
              <c:numCache>
                <c:formatCode>0.00%</c:formatCode>
                <c:ptCount val="3"/>
                <c:pt idx="0">
                  <c:v>5.5361839445895313</c:v>
                </c:pt>
                <c:pt idx="1">
                  <c:v>0.91724974077534116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'2012 Q4 Rd &amp; Bridge'!$Y$48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Q4 Rd &amp; Bridge'!$Y$49:$Y$51</c:f>
              <c:numCache>
                <c:formatCode>0.00%</c:formatCode>
                <c:ptCount val="3"/>
                <c:pt idx="0">
                  <c:v>0.98445918019757017</c:v>
                </c:pt>
                <c:pt idx="1">
                  <c:v>0.77289966148316425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'2012 Q4 Rd &amp; Bridge'!$U$48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Q4 Rd &amp; Bridge'!$J$49:$J$51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'2012 Q4 Rd &amp; Bridge'!$U$49:$U$51</c:f>
              <c:numCache>
                <c:formatCode>0.00%</c:formatCode>
                <c:ptCount val="3"/>
                <c:pt idx="0">
                  <c:v>0.19863971840581357</c:v>
                </c:pt>
                <c:pt idx="1">
                  <c:v>0.85160351825254255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'2012 Q4 Rd &amp; Bridge'!$Q$48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Q4 Rd &amp; Bridge'!$Q$49:$Q$51</c:f>
              <c:numCache>
                <c:formatCode>0%</c:formatCode>
                <c:ptCount val="3"/>
                <c:pt idx="0">
                  <c:v>0.38471670262291358</c:v>
                </c:pt>
                <c:pt idx="1">
                  <c:v>0.86386489747235939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'2012 Q4 Rd &amp; Bridge'!$M$48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Q4 Rd &amp; Bridge'!$M$49:$M$51</c:f>
              <c:numCache>
                <c:formatCode>0%</c:formatCode>
                <c:ptCount val="3"/>
                <c:pt idx="0">
                  <c:v>0</c:v>
                </c:pt>
                <c:pt idx="1">
                  <c:v>0.82701808488546535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05760"/>
        <c:axId val="32432128"/>
      </c:barChart>
      <c:catAx>
        <c:axId val="3240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432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43212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405760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19638584999882"/>
          <c:y val="0.93287255759696708"/>
          <c:w val="0.30055621365913332"/>
          <c:h val="4.65991056673471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6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2012  Road &amp; Bridge Fund Revenue by Source</a:t>
            </a:r>
          </a:p>
        </c:rich>
      </c:tx>
      <c:layout>
        <c:manualLayout>
          <c:xMode val="edge"/>
          <c:yMode val="edge"/>
          <c:x val="0.25484349390823963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Q3 Rd &amp; Bridge'!$D$16</c:f>
              <c:strCache>
                <c:ptCount val="1"/>
                <c:pt idx="0">
                  <c:v>YTD Collections as of 7/15/12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Q3 Rd &amp; Bridge'!$A$17:$B$22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'2012 Q3 Rd &amp; Bridge'!$D$17:$D$22</c:f>
              <c:numCache>
                <c:formatCode>#,##0_);[Red]\(#,##0\)</c:formatCode>
                <c:ptCount val="6"/>
                <c:pt idx="0" formatCode="&quot;$&quot;#,##0_);[Red]\(&quot;$&quot;#,##0\)">
                  <c:v>2175221</c:v>
                </c:pt>
                <c:pt idx="1">
                  <c:v>954</c:v>
                </c:pt>
                <c:pt idx="2">
                  <c:v>11792112</c:v>
                </c:pt>
                <c:pt idx="3">
                  <c:v>1380230</c:v>
                </c:pt>
                <c:pt idx="4">
                  <c:v>96487</c:v>
                </c:pt>
                <c:pt idx="5">
                  <c:v>181688</c:v>
                </c:pt>
              </c:numCache>
            </c:numRef>
          </c:val>
        </c:ser>
        <c:ser>
          <c:idx val="1"/>
          <c:order val="1"/>
          <c:tx>
            <c:strRef>
              <c:f>'2012 Q3 Rd &amp; Bridge'!$H$16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Q3 Rd &amp; Bridge'!$A$17:$B$22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'2012 Q3 Rd &amp; Bridge'!$H$17:$H$22</c:f>
              <c:numCache>
                <c:formatCode>"$"#,##0_);[Red]\("$"#,##0\)</c:formatCode>
                <c:ptCount val="6"/>
                <c:pt idx="0">
                  <c:v>0</c:v>
                </c:pt>
                <c:pt idx="1">
                  <c:v>346</c:v>
                </c:pt>
                <c:pt idx="2" formatCode="#,##0_);[Red]\(#,##0\)">
                  <c:v>1422388</c:v>
                </c:pt>
                <c:pt idx="3" formatCode="#,##0_);[Red]\(#,##0\)">
                  <c:v>361270</c:v>
                </c:pt>
                <c:pt idx="4" formatCode="#,##0_);[Red]\(#,##0\)">
                  <c:v>83513</c:v>
                </c:pt>
                <c:pt idx="5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318784"/>
        <c:axId val="33329152"/>
      </c:barChart>
      <c:lineChart>
        <c:grouping val="stacked"/>
        <c:varyColors val="0"/>
        <c:ser>
          <c:idx val="2"/>
          <c:order val="2"/>
          <c:tx>
            <c:strRef>
              <c:f>'2012 Q3 Rd &amp; Bridge'!$I$16</c:f>
              <c:strCache>
                <c:ptCount val="1"/>
                <c:pt idx="0">
                  <c:v>75%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Q3 Rd &amp; Bridge'!$I$17:$I$22</c:f>
              <c:numCache>
                <c:formatCode>0%</c:formatCode>
                <c:ptCount val="6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18784"/>
        <c:axId val="33329152"/>
      </c:lineChart>
      <c:catAx>
        <c:axId val="333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332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29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3318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9061100986830796"/>
          <c:y val="0.93239554914790579"/>
          <c:w val="0.77049181079439311"/>
          <c:h val="0.991550478725370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2012 Road &amp; Bridge Fund Expenditures by Function Area</a:t>
            </a:r>
          </a:p>
        </c:rich>
      </c:tx>
      <c:layout>
        <c:manualLayout>
          <c:xMode val="edge"/>
          <c:yMode val="edge"/>
          <c:x val="0.20119229637779995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84"/>
          <c:w val="0.87779433681073027"/>
          <c:h val="0.538461538461538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Q3 Rd &amp; Bridge'!$D$48</c:f>
              <c:strCache>
                <c:ptCount val="1"/>
                <c:pt idx="0">
                  <c:v>YTD Expenditures as of 7/15/12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Q3 Rd &amp; Bridge'!$A$49:$B$51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'2012 Q3 Rd &amp; Bridge'!$D$49:$D$51</c:f>
              <c:numCache>
                <c:formatCode>#,##0_);[Red]\(#,##0\)</c:formatCode>
                <c:ptCount val="3"/>
                <c:pt idx="0" formatCode="&quot;$&quot;#,##0_);[Red]\(&quot;$&quot;#,##0\)">
                  <c:v>0</c:v>
                </c:pt>
                <c:pt idx="1">
                  <c:v>12288907.039999999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'2012 Q3 Rd &amp; Bridge'!$H$48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Q3 Rd &amp; Bridge'!$A$49:$B$51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'2012 Q3 Rd &amp; Bridge'!$H$49:$H$51</c:f>
              <c:numCache>
                <c:formatCode>#,##0</c:formatCode>
                <c:ptCount val="3"/>
                <c:pt idx="0" formatCode="&quot;$&quot;#,##0_);[Red]\(&quot;$&quot;#,##0\)">
                  <c:v>44035</c:v>
                </c:pt>
                <c:pt idx="1">
                  <c:v>7555785.9600000009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347072"/>
        <c:axId val="33348992"/>
      </c:barChart>
      <c:lineChart>
        <c:grouping val="stacked"/>
        <c:varyColors val="0"/>
        <c:ser>
          <c:idx val="2"/>
          <c:order val="2"/>
          <c:tx>
            <c:strRef>
              <c:f>'2012 Q3 Rd &amp; Bridge'!$G$48</c:f>
              <c:strCache>
                <c:ptCount val="1"/>
                <c:pt idx="0">
                  <c:v>75%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Q3 Rd &amp; Bridge'!$I$49:$I$51</c:f>
              <c:numCache>
                <c:formatCode>0%</c:formatCode>
                <c:ptCount val="3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47072"/>
        <c:axId val="33348992"/>
      </c:lineChart>
      <c:catAx>
        <c:axId val="333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3348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48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3347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7570791642311088"/>
          <c:y val="0.92548076923076927"/>
          <c:w val="0.81073020894222281"/>
          <c:h val="0.978365384615384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71264"/>
        <c:axId val="33372800"/>
      </c:barChart>
      <c:catAx>
        <c:axId val="333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37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72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371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37440"/>
        <c:axId val="33838976"/>
      </c:barChart>
      <c:catAx>
        <c:axId val="3383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83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838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837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48704"/>
        <c:axId val="33858688"/>
      </c:barChart>
      <c:catAx>
        <c:axId val="338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858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858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8487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76608"/>
        <c:axId val="34890112"/>
      </c:barChart>
      <c:catAx>
        <c:axId val="3387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8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8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8766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Road &amp; Bridge Fund Revenue 
Collected 3rd Quarter of Fiscal Year</a:t>
            </a:r>
          </a:p>
        </c:rich>
      </c:tx>
      <c:layout>
        <c:manualLayout>
          <c:xMode val="edge"/>
          <c:yMode val="edge"/>
          <c:x val="0.33284056255973782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'2012 Q3 Rd &amp; Bridge'!$AC$16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Q3 Rd &amp; Bridge'!$AC$17:$AC$22</c:f>
              <c:numCache>
                <c:formatCode>0.00%</c:formatCode>
                <c:ptCount val="6"/>
                <c:pt idx="0">
                  <c:v>0.98528529735684278</c:v>
                </c:pt>
                <c:pt idx="1">
                  <c:v>0.63384231847927708</c:v>
                </c:pt>
                <c:pt idx="2">
                  <c:v>0.87012411628531072</c:v>
                </c:pt>
                <c:pt idx="3">
                  <c:v>0.69685492525601844</c:v>
                </c:pt>
                <c:pt idx="4">
                  <c:v>0.72598383490879814</c:v>
                </c:pt>
                <c:pt idx="5">
                  <c:v>0.88337526249581888</c:v>
                </c:pt>
              </c:numCache>
            </c:numRef>
          </c:val>
        </c:ser>
        <c:ser>
          <c:idx val="1"/>
          <c:order val="1"/>
          <c:tx>
            <c:strRef>
              <c:f>'2012 Q3 Rd &amp; Bridge'!$Y$16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Q3 Rd &amp; Bridge'!$Y$17:$Y$22</c:f>
              <c:numCache>
                <c:formatCode>0.00%</c:formatCode>
                <c:ptCount val="6"/>
                <c:pt idx="0">
                  <c:v>0.98815243986499113</c:v>
                </c:pt>
                <c:pt idx="1">
                  <c:v>0.80487804878048785</c:v>
                </c:pt>
                <c:pt idx="2">
                  <c:v>0.67534116774376485</c:v>
                </c:pt>
                <c:pt idx="3">
                  <c:v>0.73079946077577229</c:v>
                </c:pt>
                <c:pt idx="4">
                  <c:v>0.74281194336499401</c:v>
                </c:pt>
                <c:pt idx="5">
                  <c:v>0.51244504713370209</c:v>
                </c:pt>
              </c:numCache>
            </c:numRef>
          </c:val>
        </c:ser>
        <c:ser>
          <c:idx val="0"/>
          <c:order val="2"/>
          <c:tx>
            <c:strRef>
              <c:f>'2012 Q3 Rd &amp; Bridge'!$U$16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Q3 Rd &amp; Bridge'!$J$17:$J$22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'2012 Q3 Rd &amp; Bridge'!$U$17:$U$22</c:f>
              <c:numCache>
                <c:formatCode>0.00%</c:formatCode>
                <c:ptCount val="6"/>
                <c:pt idx="0">
                  <c:v>0.99172160299435252</c:v>
                </c:pt>
                <c:pt idx="1">
                  <c:v>0.71739130434782605</c:v>
                </c:pt>
                <c:pt idx="2">
                  <c:v>0.82839814356337671</c:v>
                </c:pt>
                <c:pt idx="3">
                  <c:v>0.76837266809630345</c:v>
                </c:pt>
                <c:pt idx="4">
                  <c:v>0.67518010730944489</c:v>
                </c:pt>
                <c:pt idx="5">
                  <c:v>0.82110556446072813</c:v>
                </c:pt>
              </c:numCache>
            </c:numRef>
          </c:val>
        </c:ser>
        <c:ser>
          <c:idx val="3"/>
          <c:order val="3"/>
          <c:tx>
            <c:strRef>
              <c:f>'2012 Q3 Rd &amp; Bridge'!$Q$16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Q3 Rd &amp; Bridge'!$Q$17:$Q$22</c:f>
              <c:numCache>
                <c:formatCode>0.00%</c:formatCode>
                <c:ptCount val="6"/>
                <c:pt idx="0" formatCode="General">
                  <c:v>0</c:v>
                </c:pt>
                <c:pt idx="1">
                  <c:v>0.79245283018867929</c:v>
                </c:pt>
                <c:pt idx="2">
                  <c:v>0.83252497865456276</c:v>
                </c:pt>
                <c:pt idx="3">
                  <c:v>0.68792545661943572</c:v>
                </c:pt>
                <c:pt idx="4">
                  <c:v>0.74721616169932492</c:v>
                </c:pt>
                <c:pt idx="5">
                  <c:v>0.10959796926454446</c:v>
                </c:pt>
              </c:numCache>
            </c:numRef>
          </c:val>
        </c:ser>
        <c:ser>
          <c:idx val="4"/>
          <c:order val="4"/>
          <c:tx>
            <c:strRef>
              <c:f>'2012 Q3 Rd &amp; Bridge'!$M$16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Q3 Rd &amp; Bridge'!$M$17:$M$22</c:f>
              <c:numCache>
                <c:formatCode>0.00%</c:formatCode>
                <c:ptCount val="6"/>
                <c:pt idx="0">
                  <c:v>1.006615685412497</c:v>
                </c:pt>
                <c:pt idx="1">
                  <c:v>0.73384615384615381</c:v>
                </c:pt>
                <c:pt idx="2">
                  <c:v>0.89236157251504034</c:v>
                </c:pt>
                <c:pt idx="3">
                  <c:v>0.79255239735859895</c:v>
                </c:pt>
                <c:pt idx="4">
                  <c:v>0.53603888888888884</c:v>
                </c:pt>
                <c:pt idx="5">
                  <c:v>12.112533333333333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38944"/>
        <c:axId val="35144832"/>
      </c:barChart>
      <c:catAx>
        <c:axId val="351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5144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4483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5138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751505772761067"/>
          <c:y val="0.91525690644601632"/>
          <c:w val="0.30111465113103641"/>
          <c:h val="5.87564690006969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Road &amp; Bridge Fund Expenditures 
Spent 3rd Quarter of Fiscal Year</a:t>
            </a:r>
          </a:p>
        </c:rich>
      </c:tx>
      <c:layout>
        <c:manualLayout>
          <c:xMode val="edge"/>
          <c:yMode val="edge"/>
          <c:x val="0.29758313396666125"/>
          <c:y val="3.0092592592592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288E-2"/>
          <c:y val="0.20370416418946261"/>
          <c:w val="0.88821752265861031"/>
          <c:h val="0.5162048706164791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'2012 Q3 Rd &amp; Bridge'!$AE$48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Q3 Rd &amp; Bridge'!$AE$49:$AE$51</c:f>
              <c:numCache>
                <c:formatCode>0.00%</c:formatCode>
                <c:ptCount val="3"/>
                <c:pt idx="0">
                  <c:v>1.2131756557283979</c:v>
                </c:pt>
                <c:pt idx="1">
                  <c:v>0.55458825090632435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'2012 Q3 Rd &amp; Bridge'!$Y$48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Q3 Rd &amp; Bridge'!$Y$49:$Y$51</c:f>
              <c:numCache>
                <c:formatCode>0.00%</c:formatCode>
                <c:ptCount val="3"/>
                <c:pt idx="0">
                  <c:v>0.77696695810151006</c:v>
                </c:pt>
                <c:pt idx="1">
                  <c:v>0.51495904305780682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'2012 Q3 Rd &amp; Bridge'!$U$48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Q3 Rd &amp; Bridge'!$J$49:$J$51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'2012 Q3 Rd &amp; Bridge'!$U$49:$U$51</c:f>
              <c:numCache>
                <c:formatCode>0.00%</c:formatCode>
                <c:ptCount val="3"/>
                <c:pt idx="0">
                  <c:v>4.0498694220506413E-2</c:v>
                </c:pt>
                <c:pt idx="1">
                  <c:v>0.62700613190490562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'2012 Q3 Rd &amp; Bridge'!$Q$48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Q3 Rd &amp; Bridge'!$Q$49:$Q$51</c:f>
              <c:numCache>
                <c:formatCode>0%</c:formatCode>
                <c:ptCount val="3"/>
                <c:pt idx="0">
                  <c:v>0</c:v>
                </c:pt>
                <c:pt idx="1">
                  <c:v>0.59785142709676831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'2012 Q3 Rd &amp; Bridge'!$M$48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Q3 Rd &amp; Bridge'!$M$49:$M$51</c:f>
              <c:numCache>
                <c:formatCode>0%</c:formatCode>
                <c:ptCount val="3"/>
                <c:pt idx="0">
                  <c:v>0</c:v>
                </c:pt>
                <c:pt idx="1">
                  <c:v>0.61925407664406795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61536"/>
        <c:axId val="35363072"/>
      </c:barChart>
      <c:catAx>
        <c:axId val="353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5363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6307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5361536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19638584999882"/>
          <c:y val="0.93287255759696708"/>
          <c:w val="0.30055621365913332"/>
          <c:h val="4.65991056673471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6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2012  Road &amp; Bridge Fund Revenue by Source</a:t>
            </a:r>
          </a:p>
        </c:rich>
      </c:tx>
      <c:layout>
        <c:manualLayout>
          <c:xMode val="edge"/>
          <c:yMode val="edge"/>
          <c:x val="0.25484349390823963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Q2 Rd &amp; Bridge '!$D$16</c:f>
              <c:strCache>
                <c:ptCount val="1"/>
                <c:pt idx="0">
                  <c:v>YTD Collections as of 4/15/12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Q2 Rd &amp; Bridge 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'2012 Q2 Rd &amp; Bridge '!$D$17:$D$22</c:f>
              <c:numCache>
                <c:formatCode>#,##0_);[Red]\(#,##0\)</c:formatCode>
                <c:ptCount val="6"/>
                <c:pt idx="0" formatCode="&quot;$&quot;#,##0_);[Red]\(&quot;$&quot;#,##0\)">
                  <c:v>2132779</c:v>
                </c:pt>
                <c:pt idx="1">
                  <c:v>567</c:v>
                </c:pt>
                <c:pt idx="2">
                  <c:v>5532969.7999999998</c:v>
                </c:pt>
                <c:pt idx="3">
                  <c:v>881429</c:v>
                </c:pt>
                <c:pt idx="4">
                  <c:v>65799</c:v>
                </c:pt>
                <c:pt idx="5">
                  <c:v>179416.64</c:v>
                </c:pt>
              </c:numCache>
            </c:numRef>
          </c:val>
        </c:ser>
        <c:ser>
          <c:idx val="1"/>
          <c:order val="1"/>
          <c:tx>
            <c:strRef>
              <c:f>'2012 Q2 Rd &amp; Bridge 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Q2 Rd &amp; Bridge 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'2012 Q2 Rd &amp; Bridge '!$H$17:$H$22</c:f>
              <c:numCache>
                <c:formatCode>"$"#,##0_);[Red]\("$"#,##0\)</c:formatCode>
                <c:ptCount val="6"/>
                <c:pt idx="0">
                  <c:v>28146</c:v>
                </c:pt>
                <c:pt idx="1">
                  <c:v>733</c:v>
                </c:pt>
                <c:pt idx="2" formatCode="#,##0_);[Red]\(#,##0\)">
                  <c:v>7681530.2000000002</c:v>
                </c:pt>
                <c:pt idx="3" formatCode="#,##0_);[Red]\(#,##0\)">
                  <c:v>860071</c:v>
                </c:pt>
                <c:pt idx="4" formatCode="#,##0_);[Red]\(#,##0\)">
                  <c:v>114201</c:v>
                </c:pt>
                <c:pt idx="5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611008"/>
        <c:axId val="35612928"/>
      </c:barChart>
      <c:lineChart>
        <c:grouping val="stacked"/>
        <c:varyColors val="0"/>
        <c:ser>
          <c:idx val="2"/>
          <c:order val="2"/>
          <c:tx>
            <c:strRef>
              <c:f>'2012 Q2 Rd &amp; Bridge '!$I$16</c:f>
              <c:strCache>
                <c:ptCount val="1"/>
                <c:pt idx="0">
                  <c:v>50%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Q2 Rd &amp; Bridge '!$I$17:$I$22</c:f>
              <c:numCache>
                <c:formatCode>0%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11008"/>
        <c:axId val="35612928"/>
      </c:lineChart>
      <c:catAx>
        <c:axId val="3561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561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612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5611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061100986830796"/>
          <c:y val="0.93239554914790579"/>
          <c:w val="0.47988080092608515"/>
          <c:h val="5.91549295774648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115776"/>
        <c:axId val="123133952"/>
      </c:barChart>
      <c:catAx>
        <c:axId val="1231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133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313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115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FY 2012 Road &amp; Bridge Fund Expenditures by Function Area</a:t>
            </a:r>
          </a:p>
        </c:rich>
      </c:tx>
      <c:layout>
        <c:manualLayout>
          <c:xMode val="edge"/>
          <c:yMode val="edge"/>
          <c:x val="0.20119229637779995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84"/>
          <c:w val="0.87779433681073027"/>
          <c:h val="0.538461538461538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Q2 Rd &amp; Bridge '!$D$48</c:f>
              <c:strCache>
                <c:ptCount val="1"/>
                <c:pt idx="0">
                  <c:v>YTD Expenditures as of 4/15/12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Q2 Rd &amp; Bridge '!$A$49:$B$51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'2012 Q2 Rd &amp; Bridge '!$D$49:$D$51</c:f>
              <c:numCache>
                <c:formatCode>#,##0_);[Red]\(#,##0\)</c:formatCode>
                <c:ptCount val="3"/>
                <c:pt idx="0" formatCode="&quot;$&quot;#,##0_);[Red]\(&quot;$&quot;#,##0\)">
                  <c:v>0</c:v>
                </c:pt>
                <c:pt idx="1">
                  <c:v>9006327.4900000002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'2012 Q2 Rd &amp; Bridge '!$H$48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Q2 Rd &amp; Bridge '!$A$49:$B$51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'2012 Q2 Rd &amp; Bridge '!$H$49:$H$51</c:f>
              <c:numCache>
                <c:formatCode>#,##0</c:formatCode>
                <c:ptCount val="3"/>
                <c:pt idx="0" formatCode="&quot;$&quot;#,##0_);[Red]\(&quot;$&quot;#,##0\)">
                  <c:v>44035</c:v>
                </c:pt>
                <c:pt idx="1">
                  <c:v>10838365.51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659776"/>
        <c:axId val="35661696"/>
      </c:barChart>
      <c:lineChart>
        <c:grouping val="stacked"/>
        <c:varyColors val="0"/>
        <c:ser>
          <c:idx val="2"/>
          <c:order val="2"/>
          <c:tx>
            <c:strRef>
              <c:f>'2012 Q2 Rd &amp; Bridge '!$G$48</c:f>
              <c:strCache>
                <c:ptCount val="1"/>
                <c:pt idx="0">
                  <c:v>50%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Q2 Rd &amp; Bridge '!$I$49:$I$51</c:f>
              <c:numCache>
                <c:formatCode>0%</c:formatCode>
                <c:ptCount val="3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59776"/>
        <c:axId val="35661696"/>
      </c:lineChart>
      <c:catAx>
        <c:axId val="3565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5661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66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5659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570791642311088"/>
          <c:y val="0.92548076923076927"/>
          <c:w val="0.53502229251911193"/>
          <c:h val="5.288461538461541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87808"/>
        <c:axId val="35689600"/>
      </c:barChart>
      <c:catAx>
        <c:axId val="3568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68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689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6878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11616"/>
        <c:axId val="35787136"/>
      </c:barChart>
      <c:catAx>
        <c:axId val="357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78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78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711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09152"/>
        <c:axId val="35810688"/>
      </c:barChart>
      <c:catAx>
        <c:axId val="3580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10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810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091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49344"/>
        <c:axId val="35850880"/>
      </c:barChart>
      <c:catAx>
        <c:axId val="3584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5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850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493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Road &amp; Bridge Fund Revenue 
Collected 2nd Quarter of Fiscal Year</a:t>
            </a:r>
          </a:p>
        </c:rich>
      </c:tx>
      <c:layout>
        <c:manualLayout>
          <c:xMode val="edge"/>
          <c:yMode val="edge"/>
          <c:x val="0.33284056255973782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'2012 Q2 Rd &amp; Bridge '!$M$16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Q2 Rd &amp; Bridge '!$M$17:$M$22</c:f>
              <c:numCache>
                <c:formatCode>0.00%</c:formatCode>
                <c:ptCount val="6"/>
                <c:pt idx="0">
                  <c:v>0.98697502227055545</c:v>
                </c:pt>
                <c:pt idx="1">
                  <c:v>0.43615384615384617</c:v>
                </c:pt>
                <c:pt idx="2">
                  <c:v>0.4187044383064058</c:v>
                </c:pt>
                <c:pt idx="3">
                  <c:v>0.50613207005455063</c:v>
                </c:pt>
                <c:pt idx="4">
                  <c:v>0.36554999999999999</c:v>
                </c:pt>
                <c:pt idx="5">
                  <c:v>11.961109333333335</c:v>
                </c:pt>
              </c:numCache>
            </c:numRef>
          </c:val>
        </c:ser>
        <c:ser>
          <c:idx val="3"/>
          <c:order val="1"/>
          <c:tx>
            <c:strRef>
              <c:f>'2012 Q2 Rd &amp; Bridge '!$Q$16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Q2 Rd &amp; Bridge '!$Q$17:$Q$22</c:f>
              <c:numCache>
                <c:formatCode>0.00%</c:formatCode>
                <c:ptCount val="6"/>
                <c:pt idx="0" formatCode="General">
                  <c:v>0</c:v>
                </c:pt>
                <c:pt idx="1">
                  <c:v>0.4779874213836478</c:v>
                </c:pt>
                <c:pt idx="2">
                  <c:v>0.43043573020585746</c:v>
                </c:pt>
                <c:pt idx="3">
                  <c:v>0.44531368964995943</c:v>
                </c:pt>
                <c:pt idx="4">
                  <c:v>0.48847357154618803</c:v>
                </c:pt>
                <c:pt idx="5">
                  <c:v>6.6959385290889128E-2</c:v>
                </c:pt>
              </c:numCache>
            </c:numRef>
          </c:val>
        </c:ser>
        <c:ser>
          <c:idx val="0"/>
          <c:order val="2"/>
          <c:tx>
            <c:strRef>
              <c:f>'2012 Q2 Rd &amp; Bridge '!$U$16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Q2 Rd &amp; Bridge '!$J$17:$J$22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'2012 Q2 Rd &amp; Bridge '!$U$17:$U$22</c:f>
              <c:numCache>
                <c:formatCode>0.00%</c:formatCode>
                <c:ptCount val="6"/>
                <c:pt idx="0">
                  <c:v>0.96705851951068955</c:v>
                </c:pt>
                <c:pt idx="1">
                  <c:v>0.38043478260869568</c:v>
                </c:pt>
                <c:pt idx="2">
                  <c:v>0.46722792512781441</c:v>
                </c:pt>
                <c:pt idx="3">
                  <c:v>0.42139956439364945</c:v>
                </c:pt>
                <c:pt idx="4">
                  <c:v>0.41996490423935218</c:v>
                </c:pt>
                <c:pt idx="5">
                  <c:v>0.57642241050301513</c:v>
                </c:pt>
              </c:numCache>
            </c:numRef>
          </c:val>
        </c:ser>
        <c:ser>
          <c:idx val="1"/>
          <c:order val="3"/>
          <c:tx>
            <c:strRef>
              <c:f>'2012 Q2 Rd &amp; Bridge '!$Y$16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Q2 Rd &amp; Bridge '!$Y$17:$Y$22</c:f>
              <c:numCache>
                <c:formatCode>0.00%</c:formatCode>
                <c:ptCount val="6"/>
                <c:pt idx="0">
                  <c:v>0.96555208887880262</c:v>
                </c:pt>
                <c:pt idx="1">
                  <c:v>0.6097560975609756</c:v>
                </c:pt>
                <c:pt idx="2">
                  <c:v>0.50879177744357451</c:v>
                </c:pt>
                <c:pt idx="3">
                  <c:v>0.48126469291426338</c:v>
                </c:pt>
                <c:pt idx="4">
                  <c:v>0.50122134045043798</c:v>
                </c:pt>
                <c:pt idx="5">
                  <c:v>0.21702767267168743</c:v>
                </c:pt>
              </c:numCache>
            </c:numRef>
          </c:val>
        </c:ser>
        <c:ser>
          <c:idx val="2"/>
          <c:order val="4"/>
          <c:tx>
            <c:strRef>
              <c:f>'2012 Q2 Rd &amp; Bridge '!$AC$16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Q2 Rd &amp; Bridge '!$AC$17:$AC$22</c:f>
              <c:numCache>
                <c:formatCode>0.00%</c:formatCode>
                <c:ptCount val="6"/>
                <c:pt idx="0">
                  <c:v>0.95888191919982113</c:v>
                </c:pt>
                <c:pt idx="1">
                  <c:v>0.39264568401371142</c:v>
                </c:pt>
                <c:pt idx="2">
                  <c:v>0.54711630660679589</c:v>
                </c:pt>
                <c:pt idx="3">
                  <c:v>0.1634336744568437</c:v>
                </c:pt>
                <c:pt idx="4">
                  <c:v>0.49101393963266771</c:v>
                </c:pt>
                <c:pt idx="5">
                  <c:v>0.87554271608240297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82880"/>
        <c:axId val="35884416"/>
      </c:barChart>
      <c:catAx>
        <c:axId val="3588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588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88441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5882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751505772761067"/>
          <c:y val="0.91525690644601632"/>
          <c:w val="0.30111465113103641"/>
          <c:h val="5.87564690006969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Road &amp; Bridge Fund Expenditures 
Spent 2nd Quarter of Fiscal Year</a:t>
            </a:r>
          </a:p>
        </c:rich>
      </c:tx>
      <c:layout>
        <c:manualLayout>
          <c:xMode val="edge"/>
          <c:yMode val="edge"/>
          <c:x val="0.29758313396666125"/>
          <c:y val="3.0092592592592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288E-2"/>
          <c:y val="0.20370416418946261"/>
          <c:w val="0.88821752265861031"/>
          <c:h val="0.5162048706164791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'2012 Q2 Rd &amp; Bridge '!$M$48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Q2 Rd &amp; Bridge '!$M$49:$M$51</c:f>
              <c:numCache>
                <c:formatCode>0%</c:formatCode>
                <c:ptCount val="3"/>
                <c:pt idx="0">
                  <c:v>0</c:v>
                </c:pt>
                <c:pt idx="1">
                  <c:v>0.45384060564706141</c:v>
                </c:pt>
                <c:pt idx="2">
                  <c:v>0</c:v>
                </c:pt>
              </c:numCache>
            </c:numRef>
          </c:val>
        </c:ser>
        <c:ser>
          <c:idx val="3"/>
          <c:order val="1"/>
          <c:tx>
            <c:strRef>
              <c:f>'2012 Q2 Rd &amp; Bridge '!$Q$48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Q2 Rd &amp; Bridge '!$Q$49:$Q$51</c:f>
              <c:numCache>
                <c:formatCode>0%</c:formatCode>
                <c:ptCount val="3"/>
                <c:pt idx="0">
                  <c:v>0</c:v>
                </c:pt>
                <c:pt idx="1">
                  <c:v>0.39684243873405506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'2012 Q2 Rd &amp; Bridge '!$U$48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Q2 Rd &amp; Bridge '!$J$49:$J$51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'2012 Q2 Rd &amp; Bridge '!$U$49:$U$51</c:f>
              <c:numCache>
                <c:formatCode>0.00%</c:formatCode>
                <c:ptCount val="3"/>
                <c:pt idx="0">
                  <c:v>4.0498694220506413E-2</c:v>
                </c:pt>
                <c:pt idx="1">
                  <c:v>0.34271432567549881</c:v>
                </c:pt>
                <c:pt idx="2">
                  <c:v>0</c:v>
                </c:pt>
              </c:numCache>
            </c:numRef>
          </c:val>
        </c:ser>
        <c:ser>
          <c:idx val="1"/>
          <c:order val="3"/>
          <c:tx>
            <c:strRef>
              <c:f>'2012 Q2 Rd &amp; Bridge '!$Y$48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Q2 Rd &amp; Bridge '!$Y$49:$Y$51</c:f>
              <c:numCache>
                <c:formatCode>0.00%</c:formatCode>
                <c:ptCount val="3"/>
                <c:pt idx="0">
                  <c:v>0.77696695810151006</c:v>
                </c:pt>
                <c:pt idx="1">
                  <c:v>0.3460491116765198</c:v>
                </c:pt>
                <c:pt idx="2">
                  <c:v>0</c:v>
                </c:pt>
              </c:numCache>
            </c:numRef>
          </c:val>
        </c:ser>
        <c:ser>
          <c:idx val="2"/>
          <c:order val="4"/>
          <c:tx>
            <c:strRef>
              <c:f>'2012 Q2 Rd &amp; Bridge '!$AE$48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Q2 Rd &amp; Bridge '!$AE$49:$AE$51</c:f>
              <c:numCache>
                <c:formatCode>0.00%</c:formatCode>
                <c:ptCount val="3"/>
                <c:pt idx="0">
                  <c:v>0.50555421823549451</c:v>
                </c:pt>
                <c:pt idx="1">
                  <c:v>0.43162506823904467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56064"/>
        <c:axId val="36057856"/>
      </c:barChart>
      <c:catAx>
        <c:axId val="360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05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05785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056064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19638584999882"/>
          <c:y val="0.93287255759696708"/>
          <c:w val="0.30055621365913332"/>
          <c:h val="4.65991056673471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6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2012  Road &amp; Bridge Fund Revenue by Source</a:t>
            </a:r>
          </a:p>
        </c:rich>
      </c:tx>
      <c:layout>
        <c:manualLayout>
          <c:xMode val="edge"/>
          <c:yMode val="edge"/>
          <c:x val="0.2548435171385991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Q1 Rd &amp; Bridge'!$D$16</c:f>
              <c:strCache>
                <c:ptCount val="1"/>
                <c:pt idx="0">
                  <c:v>YTD Collections as of 1/15/12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Q1 Rd &amp; Bridge'!$A$17:$B$22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'2012 Q1 Rd &amp; Bridge'!$D$17:$D$22</c:f>
              <c:numCache>
                <c:formatCode>#,##0_);[Red]\(#,##0\)</c:formatCode>
                <c:ptCount val="6"/>
                <c:pt idx="0" formatCode="&quot;$&quot;#,##0_);[Red]\(&quot;$&quot;#,##0\)">
                  <c:v>951311</c:v>
                </c:pt>
                <c:pt idx="1">
                  <c:v>252</c:v>
                </c:pt>
                <c:pt idx="2">
                  <c:v>1643013</c:v>
                </c:pt>
                <c:pt idx="3">
                  <c:v>110993</c:v>
                </c:pt>
                <c:pt idx="4">
                  <c:v>33495</c:v>
                </c:pt>
                <c:pt idx="5">
                  <c:v>2019</c:v>
                </c:pt>
              </c:numCache>
            </c:numRef>
          </c:val>
        </c:ser>
        <c:ser>
          <c:idx val="1"/>
          <c:order val="1"/>
          <c:tx>
            <c:strRef>
              <c:f>'2012 Q1 Rd &amp; Bridge'!$H$16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Q1 Rd &amp; Bridge'!$A$17:$B$22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'2012 Q1 Rd &amp; Bridge'!$H$17:$H$22</c:f>
              <c:numCache>
                <c:formatCode>"$"#,##0_);[Red]\("$"#,##0\)</c:formatCode>
                <c:ptCount val="6"/>
                <c:pt idx="0">
                  <c:v>1209614</c:v>
                </c:pt>
                <c:pt idx="1">
                  <c:v>1048</c:v>
                </c:pt>
                <c:pt idx="2" formatCode="#,##0_);[Red]\(#,##0\)">
                  <c:v>11571487</c:v>
                </c:pt>
                <c:pt idx="3" formatCode="#,##0_);[Red]\(#,##0\)">
                  <c:v>1630507</c:v>
                </c:pt>
                <c:pt idx="4" formatCode="#,##0_);[Red]\(#,##0\)">
                  <c:v>146505</c:v>
                </c:pt>
                <c:pt idx="5" formatCode="#,##0_);[Red]\(#,##0\)">
                  <c:v>12981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117120"/>
        <c:axId val="36135680"/>
      </c:barChart>
      <c:lineChart>
        <c:grouping val="stacked"/>
        <c:varyColors val="0"/>
        <c:ser>
          <c:idx val="2"/>
          <c:order val="2"/>
          <c:tx>
            <c:strRef>
              <c:f>'2012 Q1 Rd &amp; Bridge'!$I$16</c:f>
              <c:strCache>
                <c:ptCount val="1"/>
                <c:pt idx="0">
                  <c:v>25%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Q1 Rd &amp; Bridge'!$I$17:$I$22</c:f>
              <c:numCache>
                <c:formatCode>0%</c:formatCode>
                <c:ptCount val="6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17120"/>
        <c:axId val="36135680"/>
      </c:lineChart>
      <c:catAx>
        <c:axId val="3611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13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135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117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9061102831594637"/>
          <c:y val="0.93239554914790579"/>
          <c:w val="0.7704918032786886"/>
          <c:h val="0.991550478725370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2012 Road &amp; Bridge Fund Expenditures by Function Area</a:t>
            </a:r>
          </a:p>
        </c:rich>
      </c:tx>
      <c:layout>
        <c:manualLayout>
          <c:xMode val="edge"/>
          <c:yMode val="edge"/>
          <c:x val="0.20119225037257824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84"/>
          <c:w val="0.87779433681073027"/>
          <c:h val="0.538461538461538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'2012 Q1 Rd &amp; Bridge'!$D$47</c:f>
              <c:strCache>
                <c:ptCount val="1"/>
                <c:pt idx="0">
                  <c:v>YTD Expenditures as of 1/15/12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Q1 Rd &amp; Bridge'!$A$48:$B$50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'2012 Q1 Rd &amp; Bridge'!$D$48:$D$50</c:f>
              <c:numCache>
                <c:formatCode>#,##0_);[Red]\(#,##0\)</c:formatCode>
                <c:ptCount val="3"/>
                <c:pt idx="0" formatCode="&quot;$&quot;#,##0_);[Red]\(&quot;$&quot;#,##0\)">
                  <c:v>0</c:v>
                </c:pt>
                <c:pt idx="1">
                  <c:v>5063212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'2012 Q1 Rd &amp; Bridge'!$H$47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Q1 Rd &amp; Bridge'!$A$48:$B$50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'2012 Q1 Rd &amp; Bridge'!$H$48:$H$50</c:f>
              <c:numCache>
                <c:formatCode>#,##0</c:formatCode>
                <c:ptCount val="3"/>
                <c:pt idx="0" formatCode="&quot;$&quot;#,##0_);[Red]\(&quot;$&quot;#,##0\)">
                  <c:v>44035</c:v>
                </c:pt>
                <c:pt idx="1">
                  <c:v>14781481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149504"/>
        <c:axId val="36151680"/>
      </c:barChart>
      <c:lineChart>
        <c:grouping val="stacked"/>
        <c:varyColors val="0"/>
        <c:ser>
          <c:idx val="2"/>
          <c:order val="2"/>
          <c:tx>
            <c:strRef>
              <c:f>'2012 Q1 Rd &amp; Bridge'!$G$47</c:f>
              <c:strCache>
                <c:ptCount val="1"/>
                <c:pt idx="0">
                  <c:v>25%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'2012 Q1 Rd &amp; Bridge'!$I$48:$I$50</c:f>
              <c:numCache>
                <c:formatCode>0%</c:formatCode>
                <c:ptCount val="3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9504"/>
        <c:axId val="36151680"/>
      </c:lineChart>
      <c:catAx>
        <c:axId val="3614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15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15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149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7570789865871831"/>
          <c:y val="0.92548076923076927"/>
          <c:w val="0.81073025335320414"/>
          <c:h val="0.978365384615384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90080"/>
        <c:axId val="36191616"/>
      </c:barChart>
      <c:catAx>
        <c:axId val="3619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9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191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900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225600"/>
        <c:axId val="123227136"/>
      </c:barChart>
      <c:catAx>
        <c:axId val="1232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2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22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225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42560"/>
        <c:axId val="36244096"/>
      </c:barChart>
      <c:catAx>
        <c:axId val="3624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4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24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42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78656"/>
        <c:axId val="36280192"/>
      </c:barChart>
      <c:catAx>
        <c:axId val="3627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8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28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7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29184"/>
        <c:axId val="36435072"/>
      </c:barChart>
      <c:catAx>
        <c:axId val="364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35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435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291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Road &amp; Bridge Fund Revenue 
Collected 1st Quarter of Fiscal Year</a:t>
            </a:r>
          </a:p>
        </c:rich>
      </c:tx>
      <c:layout>
        <c:manualLayout>
          <c:xMode val="edge"/>
          <c:yMode val="edge"/>
          <c:x val="0.33284054729845158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'2012 Q1 Rd &amp; Bridge'!$M$16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Q1 Rd &amp; Bridge'!$M$17:$M$22</c:f>
              <c:numCache>
                <c:formatCode>0.00%</c:formatCode>
                <c:ptCount val="6"/>
                <c:pt idx="0">
                  <c:v>0.44023323345326654</c:v>
                </c:pt>
                <c:pt idx="1">
                  <c:v>0.19384615384615383</c:v>
                </c:pt>
                <c:pt idx="2">
                  <c:v>0.12433410269022664</c:v>
                </c:pt>
                <c:pt idx="3">
                  <c:v>6.3734137238013203E-2</c:v>
                </c:pt>
                <c:pt idx="4">
                  <c:v>0.18608333333333332</c:v>
                </c:pt>
                <c:pt idx="5">
                  <c:v>0.1346</c:v>
                </c:pt>
              </c:numCache>
            </c:numRef>
          </c:val>
        </c:ser>
        <c:ser>
          <c:idx val="3"/>
          <c:order val="1"/>
          <c:tx>
            <c:strRef>
              <c:f>'2012 Q1 Rd &amp; Bridge'!$Q$16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Q1 Rd &amp; Bridge'!$Q$17:$Q$22</c:f>
              <c:numCache>
                <c:formatCode>0.00%</c:formatCode>
                <c:ptCount val="6"/>
                <c:pt idx="0" formatCode="General">
                  <c:v>0</c:v>
                </c:pt>
                <c:pt idx="1">
                  <c:v>0.16352201257861634</c:v>
                </c:pt>
                <c:pt idx="2">
                  <c:v>0.12364529198700053</c:v>
                </c:pt>
                <c:pt idx="3">
                  <c:v>0.1740362546898836</c:v>
                </c:pt>
                <c:pt idx="4">
                  <c:v>0.29886382348098139</c:v>
                </c:pt>
                <c:pt idx="5">
                  <c:v>4.3393249176728869E-2</c:v>
                </c:pt>
              </c:numCache>
            </c:numRef>
          </c:val>
        </c:ser>
        <c:ser>
          <c:idx val="0"/>
          <c:order val="2"/>
          <c:tx>
            <c:strRef>
              <c:f>'2012 Q1 Rd &amp; Bridge'!$U$16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Q1 Rd &amp; Bridge'!$J$17:$J$22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'2012 Q1 Rd &amp; Bridge'!$U$17:$U$22</c:f>
              <c:numCache>
                <c:formatCode>0.00%</c:formatCode>
                <c:ptCount val="6"/>
                <c:pt idx="0">
                  <c:v>0.54043321244737508</c:v>
                </c:pt>
                <c:pt idx="1">
                  <c:v>0.21739130434782608</c:v>
                </c:pt>
                <c:pt idx="2">
                  <c:v>0.12470435832171482</c:v>
                </c:pt>
                <c:pt idx="3">
                  <c:v>0.23352223434160088</c:v>
                </c:pt>
                <c:pt idx="4">
                  <c:v>0.26070429687148927</c:v>
                </c:pt>
                <c:pt idx="5">
                  <c:v>0.23506678879474849</c:v>
                </c:pt>
              </c:numCache>
            </c:numRef>
          </c:val>
        </c:ser>
        <c:ser>
          <c:idx val="1"/>
          <c:order val="3"/>
          <c:tx>
            <c:strRef>
              <c:f>'2012 Q1 Rd &amp; Bridge'!$Y$16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Q1 Rd &amp; Bridge'!$Y$17:$Y$22</c:f>
              <c:numCache>
                <c:formatCode>0.00%</c:formatCode>
                <c:ptCount val="6"/>
                <c:pt idx="0">
                  <c:v>0.45221755781894113</c:v>
                </c:pt>
                <c:pt idx="1">
                  <c:v>0.42073170731707316</c:v>
                </c:pt>
                <c:pt idx="2">
                  <c:v>0.1091125078739188</c:v>
                </c:pt>
                <c:pt idx="3">
                  <c:v>0.2309762487173557</c:v>
                </c:pt>
                <c:pt idx="4">
                  <c:v>0.25664901760646508</c:v>
                </c:pt>
                <c:pt idx="5">
                  <c:v>2.7606752549885899E-2</c:v>
                </c:pt>
              </c:numCache>
            </c:numRef>
          </c:val>
        </c:ser>
        <c:ser>
          <c:idx val="2"/>
          <c:order val="4"/>
          <c:tx>
            <c:strRef>
              <c:f>'2012 Q1 Rd &amp; Bridge'!$AC$16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Q1 Rd &amp; Bridge'!$AC$17:$AC$22</c:f>
              <c:numCache>
                <c:formatCode>0.00%</c:formatCode>
                <c:ptCount val="6"/>
                <c:pt idx="0">
                  <c:v>0.45655657318112042</c:v>
                </c:pt>
                <c:pt idx="1">
                  <c:v>0.15705827360548458</c:v>
                </c:pt>
                <c:pt idx="2">
                  <c:v>0.1046203084105263</c:v>
                </c:pt>
                <c:pt idx="3">
                  <c:v>9.8892446644556861E-2</c:v>
                </c:pt>
                <c:pt idx="4">
                  <c:v>0.24576268979920024</c:v>
                </c:pt>
                <c:pt idx="5">
                  <c:v>0.74373633346637835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79360"/>
        <c:axId val="36480896"/>
      </c:barChart>
      <c:catAx>
        <c:axId val="364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48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48089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479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751510351146932"/>
          <c:y val="0.91525690644601632"/>
          <c:w val="0.30111463138113653"/>
          <c:h val="5.87564690006969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Road &amp; Bridge Fund Expenditures 
Spent 1st Quarter of Fiscal Year</a:t>
            </a:r>
          </a:p>
        </c:rich>
      </c:tx>
      <c:layout>
        <c:manualLayout>
          <c:xMode val="edge"/>
          <c:yMode val="edge"/>
          <c:x val="0.297583081570997"/>
          <c:y val="3.0092592592592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288E-2"/>
          <c:y val="0.20370416418946261"/>
          <c:w val="0.88821752265861031"/>
          <c:h val="0.5162048706164791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'2012 Q1 Rd &amp; Bridge'!$M$47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'2012 Q1 Rd &amp; Bridge'!$M$48:$M$50</c:f>
              <c:numCache>
                <c:formatCode>0%</c:formatCode>
                <c:ptCount val="3"/>
                <c:pt idx="0">
                  <c:v>0</c:v>
                </c:pt>
                <c:pt idx="1">
                  <c:v>0.25514186588827553</c:v>
                </c:pt>
                <c:pt idx="2">
                  <c:v>0</c:v>
                </c:pt>
              </c:numCache>
            </c:numRef>
          </c:val>
        </c:ser>
        <c:ser>
          <c:idx val="3"/>
          <c:order val="1"/>
          <c:tx>
            <c:strRef>
              <c:f>'2012 Q1 Rd &amp; Bridge'!$Q$47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'2012 Q1 Rd &amp; Bridge'!$Q$48:$Q$50</c:f>
              <c:numCache>
                <c:formatCode>0%</c:formatCode>
                <c:ptCount val="3"/>
                <c:pt idx="0">
                  <c:v>0</c:v>
                </c:pt>
                <c:pt idx="1">
                  <c:v>0.17653231502362066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'2012 Q1 Rd &amp; Bridge'!$U$47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 Q1 Rd &amp; Bridge'!$J$48:$J$50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'2012 Q1 Rd &amp; Bridge'!$U$48:$U$50</c:f>
              <c:numCache>
                <c:formatCode>0.00%</c:formatCode>
                <c:ptCount val="3"/>
                <c:pt idx="0">
                  <c:v>4.0498694220506413E-2</c:v>
                </c:pt>
                <c:pt idx="1">
                  <c:v>0.13855575538787468</c:v>
                </c:pt>
                <c:pt idx="2">
                  <c:v>0</c:v>
                </c:pt>
              </c:numCache>
            </c:numRef>
          </c:val>
        </c:ser>
        <c:ser>
          <c:idx val="1"/>
          <c:order val="3"/>
          <c:tx>
            <c:strRef>
              <c:f>'2012 Q1 Rd &amp; Bridge'!$Y$47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Q1 Rd &amp; Bridge'!$Y$48:$Y$50</c:f>
              <c:numCache>
                <c:formatCode>0.00%</c:formatCode>
                <c:ptCount val="3"/>
                <c:pt idx="0">
                  <c:v>0.3263149767230612</c:v>
                </c:pt>
                <c:pt idx="1">
                  <c:v>0.19537732639066857</c:v>
                </c:pt>
                <c:pt idx="2">
                  <c:v>0</c:v>
                </c:pt>
              </c:numCache>
            </c:numRef>
          </c:val>
        </c:ser>
        <c:ser>
          <c:idx val="2"/>
          <c:order val="4"/>
          <c:tx>
            <c:strRef>
              <c:f>'2012 Q1 Rd &amp; Bridge'!$AE$47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'2012 Q1 Rd &amp; Bridge'!$AE$48:$AE$50</c:f>
              <c:numCache>
                <c:formatCode>0.00%</c:formatCode>
                <c:ptCount val="3"/>
                <c:pt idx="0">
                  <c:v>0.17135187918701034</c:v>
                </c:pt>
                <c:pt idx="1">
                  <c:v>0.15957815713781437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50848"/>
        <c:axId val="36752384"/>
      </c:barChart>
      <c:catAx>
        <c:axId val="3675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75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75238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750848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19637462235651"/>
          <c:y val="0.93287255759696708"/>
          <c:w val="0.68575255132383373"/>
          <c:h val="0.979471663264314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6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2011 Road &amp; Bridge Fund Revenue by Source</a:t>
            </a:r>
          </a:p>
        </c:rich>
      </c:tx>
      <c:layout>
        <c:manualLayout>
          <c:xMode val="edge"/>
          <c:yMode val="edge"/>
          <c:x val="0.25484356490836879"/>
          <c:y val="1.40846103914430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23E-2"/>
          <c:w val="0.87928464977645282"/>
          <c:h val="0.732395373563179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Q4 Rd &amp; Bridge'!$D$16</c:f>
              <c:strCache>
                <c:ptCount val="1"/>
                <c:pt idx="0">
                  <c:v>YTD Collections as of 10/15/11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'2011 Q4 Rd &amp; Bridge'!$D$17:$D$22</c:f>
              <c:numCache>
                <c:formatCode>#,##0_);[Red]\(#,##0\)</c:formatCode>
                <c:ptCount val="6"/>
                <c:pt idx="0" formatCode="&quot;$&quot;#,##0_);[Red]\(&quot;$&quot;#,##0\)">
                  <c:v>0</c:v>
                </c:pt>
                <c:pt idx="1">
                  <c:v>1431</c:v>
                </c:pt>
                <c:pt idx="2">
                  <c:v>13131612</c:v>
                </c:pt>
                <c:pt idx="3">
                  <c:v>1819075</c:v>
                </c:pt>
                <c:pt idx="4">
                  <c:v>187042</c:v>
                </c:pt>
                <c:pt idx="5">
                  <c:v>58307</c:v>
                </c:pt>
              </c:numCache>
            </c:numRef>
          </c:val>
        </c:ser>
        <c:ser>
          <c:idx val="1"/>
          <c:order val="1"/>
          <c:tx>
            <c:strRef>
              <c:f>'2011 Q4 Rd &amp; Bridge'!$H$16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'2011 Q4 Rd &amp; Bridge'!$H$17:$H$22</c:f>
              <c:numCache>
                <c:formatCode>"$"#,##0_);[Red]\("$"#,##0\)</c:formatCode>
                <c:ptCount val="6"/>
                <c:pt idx="0">
                  <c:v>0</c:v>
                </c:pt>
                <c:pt idx="1">
                  <c:v>569</c:v>
                </c:pt>
                <c:pt idx="2" formatCode="#,##0_);[Red]\(#,##0\)">
                  <c:v>37388</c:v>
                </c:pt>
                <c:pt idx="3" formatCode="#,##0_);[Red]\(#,##0\)">
                  <c:v>246925</c:v>
                </c:pt>
                <c:pt idx="4" formatCode="#,##0_);[Red]\(#,##0\)">
                  <c:v>0</c:v>
                </c:pt>
                <c:pt idx="5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795520"/>
        <c:axId val="36797440"/>
      </c:barChart>
      <c:lineChart>
        <c:grouping val="stacked"/>
        <c:varyColors val="0"/>
        <c:ser>
          <c:idx val="2"/>
          <c:order val="2"/>
          <c:tx>
            <c:strRef>
              <c:f>'2011 Q4 Rd &amp; Bridge'!$I$16</c:f>
              <c:strCache>
                <c:ptCount val="1"/>
                <c:pt idx="0">
                  <c:v>100%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Q4 Rd &amp; Bridge'!$I$17:$I$22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95520"/>
        <c:axId val="36797440"/>
      </c:lineChart>
      <c:catAx>
        <c:axId val="3679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79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797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795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906109523920129"/>
          <c:y val="0.93239550701323615"/>
          <c:w val="0.7704917195085127"/>
          <c:h val="0.99155053198995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2011 Road &amp; Bridge Fund Expenditures by Function Area</a:t>
            </a:r>
          </a:p>
        </c:rich>
      </c:tx>
      <c:layout>
        <c:manualLayout>
          <c:xMode val="edge"/>
          <c:yMode val="edge"/>
          <c:x val="0.20119217398710115"/>
          <c:y val="3.12501239612050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1618589743589744"/>
          <c:w val="0.87779433681073071"/>
          <c:h val="0.538461538461538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Q4 Rd &amp; Bridge'!$D$47</c:f>
              <c:strCache>
                <c:ptCount val="1"/>
                <c:pt idx="0">
                  <c:v>YTD Expenditures as of 10/15/11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Bridge'!$A$48:$B$50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'2011 Q4 Rd &amp; Bridge'!$D$48:$D$50</c:f>
              <c:numCache>
                <c:formatCode>#,##0_);[Red]\(#,##0\)</c:formatCode>
                <c:ptCount val="3"/>
                <c:pt idx="0" formatCode="&quot;$&quot;#,##0_);[Red]\(&quot;$&quot;#,##0\)">
                  <c:v>16941</c:v>
                </c:pt>
                <c:pt idx="1">
                  <c:v>16576637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'2011 Q4 Rd &amp; Bridge'!$H$47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Bridge'!$A$48:$B$50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'2011 Q4 Rd &amp; Bridge'!$H$48:$H$50</c:f>
              <c:numCache>
                <c:formatCode>#,##0</c:formatCode>
                <c:ptCount val="3"/>
                <c:pt idx="0" formatCode="&quot;$&quot;#,##0_);[Red]\(&quot;$&quot;#,##0\)">
                  <c:v>27094</c:v>
                </c:pt>
                <c:pt idx="1">
                  <c:v>2612286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19712"/>
        <c:axId val="36821632"/>
      </c:barChart>
      <c:lineChart>
        <c:grouping val="stacked"/>
        <c:varyColors val="0"/>
        <c:ser>
          <c:idx val="2"/>
          <c:order val="2"/>
          <c:tx>
            <c:strRef>
              <c:f>'2011 Q4 Rd &amp; Bridge'!$G$47</c:f>
              <c:strCache>
                <c:ptCount val="1"/>
                <c:pt idx="0">
                  <c:v>100%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Q4 Rd &amp; Bridge'!$I$48:$I$50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19712"/>
        <c:axId val="36821632"/>
      </c:lineChart>
      <c:catAx>
        <c:axId val="3681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82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821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819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7570792588979476"/>
          <c:y val="0.9254807380815433"/>
          <c:w val="0.81073034012341383"/>
          <c:h val="0.978365298796088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23808"/>
        <c:axId val="40425344"/>
      </c:barChart>
      <c:catAx>
        <c:axId val="4042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42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425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4238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3376"/>
        <c:axId val="40543360"/>
      </c:barChart>
      <c:catAx>
        <c:axId val="4053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54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533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61280"/>
        <c:axId val="40563072"/>
      </c:barChart>
      <c:catAx>
        <c:axId val="4056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563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563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5612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% of Road &amp; Bridge Fund Revenue 
Collected thru 4th Quarter of Fiscal Year</a:t>
            </a:r>
          </a:p>
        </c:rich>
      </c:tx>
      <c:layout>
        <c:manualLayout>
          <c:xMode val="edge"/>
          <c:yMode val="edge"/>
          <c:x val="0.26619454112338414"/>
          <c:y val="4.00696428133228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Q4 Rd &amp; Bridge)'!$M$16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Q4 Rd &amp; Bridge)'!$M$17:$M$22</c:f>
              <c:numCache>
                <c:formatCode>0.00%</c:formatCode>
                <c:ptCount val="6"/>
                <c:pt idx="0">
                  <c:v>1.0100601322047937</c:v>
                </c:pt>
                <c:pt idx="1">
                  <c:v>1</c:v>
                </c:pt>
                <c:pt idx="2">
                  <c:v>1.0390901396030723</c:v>
                </c:pt>
                <c:pt idx="3">
                  <c:v>1.1442802651340314</c:v>
                </c:pt>
                <c:pt idx="4">
                  <c:v>0.60184285714285712</c:v>
                </c:pt>
                <c:pt idx="5">
                  <c:v>46.361800000000002</c:v>
                </c:pt>
              </c:numCache>
            </c:numRef>
          </c:val>
        </c:ser>
        <c:ser>
          <c:idx val="4"/>
          <c:order val="1"/>
          <c:tx>
            <c:strRef>
              <c:f>'2013 Q4 Rd &amp; Bridge)'!$P$16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Q4 Rd &amp; Bridge)'!$P$17:$P$22</c:f>
              <c:numCache>
                <c:formatCode>0.00%</c:formatCode>
                <c:ptCount val="6"/>
                <c:pt idx="0">
                  <c:v>1.006615685412497</c:v>
                </c:pt>
                <c:pt idx="1">
                  <c:v>0.73384615384615381</c:v>
                </c:pt>
                <c:pt idx="2">
                  <c:v>0.89236157251504034</c:v>
                </c:pt>
                <c:pt idx="3">
                  <c:v>0.79255239735859895</c:v>
                </c:pt>
                <c:pt idx="4">
                  <c:v>0.53603888888888884</c:v>
                </c:pt>
                <c:pt idx="5">
                  <c:v>12.112533333333333</c:v>
                </c:pt>
              </c:numCache>
            </c:numRef>
          </c:val>
        </c:ser>
        <c:ser>
          <c:idx val="3"/>
          <c:order val="2"/>
          <c:tx>
            <c:strRef>
              <c:f>'2013 Q4 Rd &amp; Bridge)'!$T$16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Q4 Rd &amp; Bridge)'!$T$17:$T$22</c:f>
              <c:numCache>
                <c:formatCode>0.00%</c:formatCode>
                <c:ptCount val="6"/>
                <c:pt idx="0" formatCode="General">
                  <c:v>0</c:v>
                </c:pt>
                <c:pt idx="1">
                  <c:v>0.79245283018867929</c:v>
                </c:pt>
                <c:pt idx="2">
                  <c:v>0.83252497865456276</c:v>
                </c:pt>
                <c:pt idx="3">
                  <c:v>0.68792545661943572</c:v>
                </c:pt>
                <c:pt idx="4">
                  <c:v>0.74721616169932492</c:v>
                </c:pt>
                <c:pt idx="5">
                  <c:v>0.10959796926454446</c:v>
                </c:pt>
              </c:numCache>
            </c:numRef>
          </c:val>
        </c:ser>
        <c:ser>
          <c:idx val="0"/>
          <c:order val="3"/>
          <c:tx>
            <c:strRef>
              <c:f>'2013 Q4 Rd &amp; Bridge)'!$X$16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Q4 Rd &amp; Bridge)'!$J$17:$J$22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Misc./Proceeds F/A Disp</c:v>
                </c:pt>
              </c:strCache>
            </c:strRef>
          </c:cat>
          <c:val>
            <c:numRef>
              <c:f>'2013 Q4 Rd &amp; Bridge)'!$X$17:$X$22</c:f>
              <c:numCache>
                <c:formatCode>0.00%</c:formatCode>
                <c:ptCount val="6"/>
                <c:pt idx="0">
                  <c:v>0.99172160299435252</c:v>
                </c:pt>
                <c:pt idx="1">
                  <c:v>0.71739130434782605</c:v>
                </c:pt>
                <c:pt idx="2">
                  <c:v>0.82839814356337671</c:v>
                </c:pt>
                <c:pt idx="3">
                  <c:v>0.76837266809630345</c:v>
                </c:pt>
                <c:pt idx="4">
                  <c:v>0.67518010730944489</c:v>
                </c:pt>
                <c:pt idx="5">
                  <c:v>0.82110556446072813</c:v>
                </c:pt>
              </c:numCache>
            </c:numRef>
          </c:val>
        </c:ser>
        <c:ser>
          <c:idx val="1"/>
          <c:order val="4"/>
          <c:tx>
            <c:strRef>
              <c:f>'2013 Q4 Rd &amp; Bridge)'!$AB$16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Q4 Rd &amp; Bridge)'!$AB$17:$AB$22</c:f>
              <c:numCache>
                <c:formatCode>0.00%</c:formatCode>
                <c:ptCount val="6"/>
                <c:pt idx="0">
                  <c:v>0.98815243986499113</c:v>
                </c:pt>
                <c:pt idx="1">
                  <c:v>0.80487804878048785</c:v>
                </c:pt>
                <c:pt idx="2">
                  <c:v>0.67534116774376485</c:v>
                </c:pt>
                <c:pt idx="3">
                  <c:v>0.73079946077577229</c:v>
                </c:pt>
                <c:pt idx="4">
                  <c:v>0.74281194336499401</c:v>
                </c:pt>
                <c:pt idx="5">
                  <c:v>0.51244504713370209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296000"/>
        <c:axId val="123314176"/>
      </c:barChart>
      <c:catAx>
        <c:axId val="12329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12331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314176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2960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973689645878443"/>
          <c:y val="0.89957066070533531"/>
          <c:w val="0.45054916807965378"/>
          <c:h val="5.673070866141732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14016"/>
        <c:axId val="55815552"/>
      </c:barChart>
      <c:catAx>
        <c:axId val="5581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81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815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814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Road &amp; Bridge Fund Revenue 
Collected thru 4th Quarter of Fiscal Year</a:t>
            </a:r>
          </a:p>
        </c:rich>
      </c:tx>
      <c:layout>
        <c:manualLayout>
          <c:xMode val="edge"/>
          <c:yMode val="edge"/>
          <c:x val="0.33284060731346632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86E-2"/>
          <c:y val="0.24011365674009302"/>
          <c:w val="0.88609531459131363"/>
          <c:h val="0.5480241106773886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Q4 Rd &amp; Bridge'!$M$16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Q4 Rd &amp; Bridge'!$M$17:$M$22</c:f>
              <c:numCache>
                <c:formatCode>0.00%</c:formatCode>
                <c:ptCount val="6"/>
                <c:pt idx="0">
                  <c:v>0</c:v>
                </c:pt>
                <c:pt idx="1">
                  <c:v>0.71550000000000002</c:v>
                </c:pt>
                <c:pt idx="2">
                  <c:v>0.99716090819348469</c:v>
                </c:pt>
                <c:pt idx="3">
                  <c:v>0.88048160696999034</c:v>
                </c:pt>
                <c:pt idx="4">
                  <c:v>1.5586833333333334</c:v>
                </c:pt>
                <c:pt idx="5">
                  <c:v>2.3322799999999999</c:v>
                </c:pt>
              </c:numCache>
            </c:numRef>
          </c:val>
        </c:ser>
        <c:ser>
          <c:idx val="0"/>
          <c:order val="1"/>
          <c:tx>
            <c:strRef>
              <c:f>'2011 Q4 Rd &amp; Bridge'!$P$16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Bridge'!$J$17:$J$22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'2011 Q4 Rd &amp; Bridge'!$P$17:$P$22</c:f>
              <c:numCache>
                <c:formatCode>0.00%</c:formatCode>
                <c:ptCount val="6"/>
                <c:pt idx="0">
                  <c:v>0.99879360856801347</c:v>
                </c:pt>
                <c:pt idx="1">
                  <c:v>0.87378640776699024</c:v>
                </c:pt>
                <c:pt idx="2">
                  <c:v>0.9970214204980945</c:v>
                </c:pt>
                <c:pt idx="3">
                  <c:v>0.87720247194878354</c:v>
                </c:pt>
                <c:pt idx="4">
                  <c:v>0.72761639270723188</c:v>
                </c:pt>
                <c:pt idx="5">
                  <c:v>11.014741338582677</c:v>
                </c:pt>
              </c:numCache>
            </c:numRef>
          </c:val>
        </c:ser>
        <c:ser>
          <c:idx val="1"/>
          <c:order val="2"/>
          <c:tx>
            <c:strRef>
              <c:f>'2011 Q4 Rd &amp; Bridge'!$T$16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Q4 Rd &amp; Bridge'!$T$17:$T$22</c:f>
              <c:numCache>
                <c:formatCode>0.00%</c:formatCode>
                <c:ptCount val="6"/>
                <c:pt idx="0">
                  <c:v>0.99838171653184471</c:v>
                </c:pt>
                <c:pt idx="1">
                  <c:v>1</c:v>
                </c:pt>
                <c:pt idx="2">
                  <c:v>0.99521636221469334</c:v>
                </c:pt>
                <c:pt idx="3">
                  <c:v>0.98959261788125985</c:v>
                </c:pt>
                <c:pt idx="4">
                  <c:v>0.96810488992582</c:v>
                </c:pt>
                <c:pt idx="5">
                  <c:v>0.99999863301327596</c:v>
                </c:pt>
              </c:numCache>
            </c:numRef>
          </c:val>
        </c:ser>
        <c:ser>
          <c:idx val="2"/>
          <c:order val="3"/>
          <c:tx>
            <c:strRef>
              <c:f>'2011 Q4 Rd &amp; Bridge'!$X$16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Q4 Rd &amp; Bridge'!$X$17:$X$22</c:f>
              <c:numCache>
                <c:formatCode>0.00%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0.99999999999999989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04928"/>
        <c:axId val="60206464"/>
      </c:barChart>
      <c:catAx>
        <c:axId val="6020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020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20646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0204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751507831432578"/>
          <c:y val="0.91525690644601632"/>
          <c:w val="0.66840669252626606"/>
          <c:h val="0.974013375446713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Road &amp; Bridge Fund Expenditures 
Spent thru 4th Quarter of Fiscal Year</a:t>
            </a:r>
          </a:p>
        </c:rich>
      </c:tx>
      <c:layout>
        <c:manualLayout>
          <c:xMode val="edge"/>
          <c:yMode val="edge"/>
          <c:x val="0.29758302633695449"/>
          <c:y val="3.0092592592592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357E-2"/>
          <c:y val="0.20370416418946272"/>
          <c:w val="0.88821752265861031"/>
          <c:h val="0.5162048706164793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Q4 Rd &amp; Bridge'!$M$47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Q4 Rd &amp; Bridge'!$M$48:$M$50</c:f>
              <c:numCache>
                <c:formatCode>0%</c:formatCode>
                <c:ptCount val="3"/>
                <c:pt idx="0">
                  <c:v>0.38471670262291358</c:v>
                </c:pt>
                <c:pt idx="1">
                  <c:v>0.86386489747235939</c:v>
                </c:pt>
                <c:pt idx="2">
                  <c:v>0</c:v>
                </c:pt>
              </c:numCache>
            </c:numRef>
          </c:val>
        </c:ser>
        <c:ser>
          <c:idx val="0"/>
          <c:order val="1"/>
          <c:tx>
            <c:strRef>
              <c:f>'2011 Q4 Rd &amp; Bridge'!$Q$47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Bridge'!$J$48:$J$50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'2011 Q4 Rd &amp; Bridge'!$Q$48:$Q$50</c:f>
              <c:numCache>
                <c:formatCode>0.00%</c:formatCode>
                <c:ptCount val="3"/>
                <c:pt idx="0">
                  <c:v>0.19863971840581357</c:v>
                </c:pt>
                <c:pt idx="1">
                  <c:v>0.85160351825254255</c:v>
                </c:pt>
                <c:pt idx="2">
                  <c:v>0</c:v>
                </c:pt>
              </c:numCache>
            </c:numRef>
          </c:val>
        </c:ser>
        <c:ser>
          <c:idx val="1"/>
          <c:order val="2"/>
          <c:tx>
            <c:strRef>
              <c:f>'2011 Q4 Rd &amp; Bridge'!$U$47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Q4 Rd &amp; Bridge'!$U$48:$U$50</c:f>
              <c:numCache>
                <c:formatCode>0.00%</c:formatCode>
                <c:ptCount val="3"/>
                <c:pt idx="0">
                  <c:v>0.98445918019757017</c:v>
                </c:pt>
                <c:pt idx="1">
                  <c:v>0.77289966148316425</c:v>
                </c:pt>
                <c:pt idx="2">
                  <c:v>0</c:v>
                </c:pt>
              </c:numCache>
            </c:numRef>
          </c:val>
        </c:ser>
        <c:ser>
          <c:idx val="2"/>
          <c:order val="3"/>
          <c:tx>
            <c:strRef>
              <c:f>'2011 Q4 Rd &amp; Bridge'!$AA$47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Q4 Rd &amp; Bridge'!$AA$48:$AA$50</c:f>
              <c:numCache>
                <c:formatCode>0.00%</c:formatCode>
                <c:ptCount val="3"/>
                <c:pt idx="0">
                  <c:v>5.5361839445895313</c:v>
                </c:pt>
                <c:pt idx="1">
                  <c:v>0.91724974077534116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64768"/>
        <c:axId val="90066304"/>
      </c:barChart>
      <c:catAx>
        <c:axId val="9006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0066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6630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0064768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19637960053199"/>
          <c:y val="0.93287255759696708"/>
          <c:w val="0.62535911710587744"/>
          <c:h val="0.980388354233498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6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2011 Road &amp; Bridge Fund Revenue by Source</a:t>
            </a:r>
          </a:p>
        </c:rich>
      </c:tx>
      <c:layout>
        <c:manualLayout>
          <c:xMode val="edge"/>
          <c:yMode val="edge"/>
          <c:x val="0.25484356490836879"/>
          <c:y val="1.40846103914430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23E-2"/>
          <c:w val="0.87928464977645282"/>
          <c:h val="0.732395373563179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Q3 Rd &amp; Bridge'!$D$16</c:f>
              <c:strCache>
                <c:ptCount val="1"/>
                <c:pt idx="0">
                  <c:v>YTD Collections as of 7/15/11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'2011 Q3 Rd &amp; Bridge'!$D$17:$D$22</c:f>
              <c:numCache>
                <c:formatCode>#,##0_);[Red]\(#,##0\)</c:formatCode>
                <c:ptCount val="6"/>
                <c:pt idx="0" formatCode="&quot;$&quot;#,##0_);[Red]\(&quot;$&quot;#,##0\)">
                  <c:v>0</c:v>
                </c:pt>
                <c:pt idx="1">
                  <c:v>1134</c:v>
                </c:pt>
                <c:pt idx="2">
                  <c:v>10932395</c:v>
                </c:pt>
                <c:pt idx="3">
                  <c:v>1251388</c:v>
                </c:pt>
                <c:pt idx="4">
                  <c:v>145211</c:v>
                </c:pt>
                <c:pt idx="5">
                  <c:v>6390</c:v>
                </c:pt>
              </c:numCache>
            </c:numRef>
          </c:val>
        </c:ser>
        <c:ser>
          <c:idx val="1"/>
          <c:order val="1"/>
          <c:tx>
            <c:strRef>
              <c:f>'2011 Q3 Rd &amp; Bridge'!$H$16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'2011 Q3 Rd &amp; Bridge'!$H$17:$H$22</c:f>
              <c:numCache>
                <c:formatCode>"$"#,##0_);[Red]\("$"#,##0\)</c:formatCode>
                <c:ptCount val="6"/>
                <c:pt idx="0">
                  <c:v>0</c:v>
                </c:pt>
                <c:pt idx="1">
                  <c:v>866</c:v>
                </c:pt>
                <c:pt idx="2" formatCode="#,##0_);[Red]\(#,##0\)">
                  <c:v>2236605</c:v>
                </c:pt>
                <c:pt idx="3" formatCode="#,##0_);[Red]\(#,##0\)">
                  <c:v>814612</c:v>
                </c:pt>
                <c:pt idx="4" formatCode="#,##0_);[Red]\(#,##0\)">
                  <c:v>0</c:v>
                </c:pt>
                <c:pt idx="5" formatCode="#,##0_);[Red]\(#,##0\)">
                  <c:v>18610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309376"/>
        <c:axId val="92749824"/>
      </c:barChart>
      <c:lineChart>
        <c:grouping val="stacked"/>
        <c:varyColors val="0"/>
        <c:ser>
          <c:idx val="2"/>
          <c:order val="2"/>
          <c:tx>
            <c:strRef>
              <c:f>'2011 Q3 Rd &amp; Bridge'!$I$16</c:f>
              <c:strCache>
                <c:ptCount val="1"/>
                <c:pt idx="0">
                  <c:v>75%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Q3 Rd &amp; Bridge'!$I$17:$I$22</c:f>
              <c:numCache>
                <c:formatCode>0%</c:formatCode>
                <c:ptCount val="6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9376"/>
        <c:axId val="92749824"/>
      </c:lineChart>
      <c:catAx>
        <c:axId val="9230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2749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749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2309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906109523920129"/>
          <c:y val="0.93239550701323615"/>
          <c:w val="0.7704917195085127"/>
          <c:h val="0.99155053198995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2011 Road &amp; Bridge Fund Expenditures by Function Area</a:t>
            </a:r>
          </a:p>
        </c:rich>
      </c:tx>
      <c:layout>
        <c:manualLayout>
          <c:xMode val="edge"/>
          <c:yMode val="edge"/>
          <c:x val="0.20119217398710115"/>
          <c:y val="3.12501239612050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1618589743589744"/>
          <c:w val="0.87779433681073071"/>
          <c:h val="0.538461538461538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Q3 Rd &amp; Bridge'!$D$47</c:f>
              <c:strCache>
                <c:ptCount val="1"/>
                <c:pt idx="0">
                  <c:v>YTD Expenditures as of 7/15/11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Bridge'!$A$48:$B$50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'2011 Q3 Rd &amp; Bridge'!$D$48:$D$50</c:f>
              <c:numCache>
                <c:formatCode>#,##0_);[Red]\(#,##0\)</c:formatCode>
                <c:ptCount val="3"/>
                <c:pt idx="0" formatCode="&quot;$&quot;#,##0_);[Red]\(&quot;$&quot;#,##0\)">
                  <c:v>0</c:v>
                </c:pt>
                <c:pt idx="1">
                  <c:v>11472125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'2011 Q3 Rd &amp; Bridge'!$H$47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Bridge'!$A$48:$B$50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'2011 Q3 Rd &amp; Bridge'!$H$48:$H$50</c:f>
              <c:numCache>
                <c:formatCode>#,##0</c:formatCode>
                <c:ptCount val="3"/>
                <c:pt idx="0" formatCode="&quot;$&quot;#,##0_);[Red]\(&quot;$&quot;#,##0\)">
                  <c:v>44035</c:v>
                </c:pt>
                <c:pt idx="1">
                  <c:v>7716798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792320"/>
        <c:axId val="92794240"/>
      </c:barChart>
      <c:lineChart>
        <c:grouping val="stacked"/>
        <c:varyColors val="0"/>
        <c:ser>
          <c:idx val="2"/>
          <c:order val="2"/>
          <c:tx>
            <c:strRef>
              <c:f>'2011 Q3 Rd &amp; Bridge'!$G$47</c:f>
              <c:strCache>
                <c:ptCount val="1"/>
                <c:pt idx="0">
                  <c:v>75%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Q3 Rd &amp; Bridge'!$I$48:$I$50</c:f>
              <c:numCache>
                <c:formatCode>0%</c:formatCode>
                <c:ptCount val="3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92320"/>
        <c:axId val="92794240"/>
      </c:lineChart>
      <c:catAx>
        <c:axId val="927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279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79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27923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7570792588979476"/>
          <c:y val="0.9254807380815433"/>
          <c:w val="0.81073034012341383"/>
          <c:h val="0.978365298796088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28800"/>
        <c:axId val="92830336"/>
      </c:barChart>
      <c:catAx>
        <c:axId val="92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830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830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828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39232"/>
        <c:axId val="101840768"/>
      </c:barChart>
      <c:catAx>
        <c:axId val="10183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840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840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839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924224"/>
        <c:axId val="101926016"/>
      </c:barChart>
      <c:catAx>
        <c:axId val="1019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926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192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924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948032"/>
        <c:axId val="101949824"/>
      </c:barChart>
      <c:catAx>
        <c:axId val="1019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949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949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9480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Road &amp; Bridge Fund Revenue 
Collected thru 3rd Quarter of Fiscal Year</a:t>
            </a:r>
          </a:p>
        </c:rich>
      </c:tx>
      <c:layout>
        <c:manualLayout>
          <c:xMode val="edge"/>
          <c:yMode val="edge"/>
          <c:x val="0.33284060731346632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86E-2"/>
          <c:y val="0.24011365674009302"/>
          <c:w val="0.88609531459131363"/>
          <c:h val="0.5480241106773886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Q3 Rd &amp; Bridge'!$M$16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Q3 Rd &amp; Bridge'!$M$17:$M$22</c:f>
              <c:numCache>
                <c:formatCode>0.00%</c:formatCode>
                <c:ptCount val="6"/>
                <c:pt idx="0">
                  <c:v>0</c:v>
                </c:pt>
                <c:pt idx="1">
                  <c:v>0.56699999999999995</c:v>
                </c:pt>
                <c:pt idx="2">
                  <c:v>0.83016136380894523</c:v>
                </c:pt>
                <c:pt idx="3">
                  <c:v>0.60570571151984509</c:v>
                </c:pt>
                <c:pt idx="4">
                  <c:v>1.2100916666666666</c:v>
                </c:pt>
                <c:pt idx="5">
                  <c:v>0.25559999999999999</c:v>
                </c:pt>
              </c:numCache>
            </c:numRef>
          </c:val>
        </c:ser>
        <c:ser>
          <c:idx val="0"/>
          <c:order val="1"/>
          <c:tx>
            <c:strRef>
              <c:f>'2011 Q3 Rd &amp; Bridge'!$P$16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Bridge'!$J$17:$J$22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'2011 Q3 Rd &amp; Bridge'!$P$17:$P$22</c:f>
              <c:numCache>
                <c:formatCode>0.00%</c:formatCode>
                <c:ptCount val="6"/>
                <c:pt idx="0">
                  <c:v>0.99215779640133273</c:v>
                </c:pt>
                <c:pt idx="1">
                  <c:v>0.64077669902912626</c:v>
                </c:pt>
                <c:pt idx="2">
                  <c:v>0.83923599341518329</c:v>
                </c:pt>
                <c:pt idx="3">
                  <c:v>0.67794567724818167</c:v>
                </c:pt>
                <c:pt idx="4">
                  <c:v>0.53492592948615247</c:v>
                </c:pt>
                <c:pt idx="5">
                  <c:v>2.1175795275590552</c:v>
                </c:pt>
              </c:numCache>
            </c:numRef>
          </c:val>
        </c:ser>
        <c:ser>
          <c:idx val="1"/>
          <c:order val="2"/>
          <c:tx>
            <c:strRef>
              <c:f>'2011 Q3 Rd &amp; Bridge'!$T$16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Q3 Rd &amp; Bridge'!$T$17:$T$22</c:f>
              <c:numCache>
                <c:formatCode>0.00%</c:formatCode>
                <c:ptCount val="6"/>
                <c:pt idx="0">
                  <c:v>0.98815243986499113</c:v>
                </c:pt>
                <c:pt idx="1">
                  <c:v>0.80487804878048785</c:v>
                </c:pt>
                <c:pt idx="2">
                  <c:v>0.67534116774376485</c:v>
                </c:pt>
                <c:pt idx="3">
                  <c:v>0.73079946077577229</c:v>
                </c:pt>
                <c:pt idx="4">
                  <c:v>0.74281194336499401</c:v>
                </c:pt>
                <c:pt idx="5">
                  <c:v>0.51244504713370209</c:v>
                </c:pt>
              </c:numCache>
            </c:numRef>
          </c:val>
        </c:ser>
        <c:ser>
          <c:idx val="2"/>
          <c:order val="3"/>
          <c:tx>
            <c:strRef>
              <c:f>'2011 Q3 Rd &amp; Bridge'!$X$16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Q3 Rd &amp; Bridge'!$X$17:$X$22</c:f>
              <c:numCache>
                <c:formatCode>0.00%</c:formatCode>
                <c:ptCount val="6"/>
                <c:pt idx="0">
                  <c:v>0.98528529735684278</c:v>
                </c:pt>
                <c:pt idx="1">
                  <c:v>0.63384231847927708</c:v>
                </c:pt>
                <c:pt idx="2">
                  <c:v>0.87012411628531072</c:v>
                </c:pt>
                <c:pt idx="3">
                  <c:v>0.69685492525601844</c:v>
                </c:pt>
                <c:pt idx="4">
                  <c:v>0.72598383490879814</c:v>
                </c:pt>
                <c:pt idx="5">
                  <c:v>0.88337526249581888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964416"/>
        <c:axId val="101970304"/>
      </c:barChart>
      <c:catAx>
        <c:axId val="10196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197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97030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1964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751507831432578"/>
          <c:y val="0.91525690644601632"/>
          <c:w val="0.66840669252626606"/>
          <c:h val="0.974013375446713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% of Road &amp; Bridge Fund Expenditures 
Spent thru  4th Quarter of Fiscal Year</a:t>
            </a:r>
          </a:p>
        </c:rich>
      </c:tx>
      <c:layout>
        <c:manualLayout>
          <c:xMode val="edge"/>
          <c:yMode val="edge"/>
          <c:x val="0.25077213955315197"/>
          <c:y val="3.3898345013967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'2013 Q4 Rd &amp; Bridge)'!$M$47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D5635"/>
            </a:solidFill>
          </c:spPr>
          <c:invertIfNegative val="0"/>
          <c:val>
            <c:numRef>
              <c:f>'2013 Q4 Rd &amp; Bridge)'!$M$48:$M$49</c:f>
              <c:numCache>
                <c:formatCode>0%</c:formatCode>
                <c:ptCount val="2"/>
                <c:pt idx="0">
                  <c:v>1.214329510616555</c:v>
                </c:pt>
                <c:pt idx="1">
                  <c:v>0.90593225320162851</c:v>
                </c:pt>
              </c:numCache>
            </c:numRef>
          </c:val>
        </c:ser>
        <c:ser>
          <c:idx val="4"/>
          <c:order val="1"/>
          <c:tx>
            <c:strRef>
              <c:f>'2013 Q4 Rd &amp; Bridge)'!$P$47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BCBA3"/>
            </a:solidFill>
          </c:spPr>
          <c:invertIfNegative val="0"/>
          <c:val>
            <c:numRef>
              <c:f>'2013 Q4 Rd &amp; Bridge)'!$P$48:$P$49</c:f>
              <c:numCache>
                <c:formatCode>0%</c:formatCode>
                <c:ptCount val="2"/>
                <c:pt idx="0">
                  <c:v>0</c:v>
                </c:pt>
                <c:pt idx="1">
                  <c:v>0.61925407664406795</c:v>
                </c:pt>
              </c:numCache>
            </c:numRef>
          </c:val>
        </c:ser>
        <c:ser>
          <c:idx val="3"/>
          <c:order val="2"/>
          <c:tx>
            <c:strRef>
              <c:f>'2013 Q4 Rd &amp; Bridge)'!$T$47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'2013 Q4 Rd &amp; Bridge)'!$T$48:$T$49</c:f>
              <c:numCache>
                <c:formatCode>0%</c:formatCode>
                <c:ptCount val="2"/>
                <c:pt idx="0">
                  <c:v>0</c:v>
                </c:pt>
                <c:pt idx="1">
                  <c:v>0.59785142709676831</c:v>
                </c:pt>
              </c:numCache>
            </c:numRef>
          </c:val>
        </c:ser>
        <c:ser>
          <c:idx val="0"/>
          <c:order val="3"/>
          <c:tx>
            <c:strRef>
              <c:f>'2013 Q4 Rd &amp; Bridge)'!$X$47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cat>
            <c:strRef>
              <c:f>'2013 Q4 Rd &amp; Bridge)'!$J$48:$J$50</c:f>
              <c:strCache>
                <c:ptCount val="2"/>
                <c:pt idx="0">
                  <c:v>Conservation</c:v>
                </c:pt>
                <c:pt idx="1">
                  <c:v>Public Transport</c:v>
                </c:pt>
              </c:strCache>
            </c:strRef>
          </c:cat>
          <c:val>
            <c:numRef>
              <c:f>'2013 Q4 Rd &amp; Bridge)'!$X$48:$X$49</c:f>
              <c:numCache>
                <c:formatCode>0.00%</c:formatCode>
                <c:ptCount val="2"/>
                <c:pt idx="0">
                  <c:v>4.0498694220506413E-2</c:v>
                </c:pt>
                <c:pt idx="1">
                  <c:v>0.62700613190490562</c:v>
                </c:pt>
              </c:numCache>
            </c:numRef>
          </c:val>
        </c:ser>
        <c:ser>
          <c:idx val="1"/>
          <c:order val="4"/>
          <c:tx>
            <c:strRef>
              <c:f>'2013 Q4 Rd &amp; Bridge)'!$AB$47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</c:spPr>
          <c:invertIfNegative val="0"/>
          <c:val>
            <c:numRef>
              <c:f>'2013 Q4 Rd &amp; Bridge)'!$AB$48:$AB$49</c:f>
              <c:numCache>
                <c:formatCode>0.00%</c:formatCode>
                <c:ptCount val="2"/>
                <c:pt idx="0">
                  <c:v>0.77696695810151006</c:v>
                </c:pt>
                <c:pt idx="1">
                  <c:v>0.51495904305780682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517952"/>
        <c:axId val="123605760"/>
      </c:barChart>
      <c:catAx>
        <c:axId val="12351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12360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605760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517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1542068303408982"/>
          <c:y val="0.89957054191755426"/>
          <c:w val="0.45054916807965378"/>
          <c:h val="5.673070866141732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Road &amp; Bridge Fund Expenditures 
Spent thru 3rd Quarter of Fiscal Year</a:t>
            </a:r>
          </a:p>
        </c:rich>
      </c:tx>
      <c:layout>
        <c:manualLayout>
          <c:xMode val="edge"/>
          <c:yMode val="edge"/>
          <c:x val="0.29758302633695449"/>
          <c:y val="3.0092592592592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357E-2"/>
          <c:y val="0.20370416418946272"/>
          <c:w val="0.88821752265861031"/>
          <c:h val="0.5162048706164793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Q3 Rd &amp; Bridge'!$M$47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Q3 Rd &amp; Bridge'!$M$48:$M$50</c:f>
              <c:numCache>
                <c:formatCode>0%</c:formatCode>
                <c:ptCount val="3"/>
                <c:pt idx="0">
                  <c:v>0</c:v>
                </c:pt>
                <c:pt idx="1">
                  <c:v>0.59785142709676831</c:v>
                </c:pt>
                <c:pt idx="2">
                  <c:v>0</c:v>
                </c:pt>
              </c:numCache>
            </c:numRef>
          </c:val>
        </c:ser>
        <c:ser>
          <c:idx val="0"/>
          <c:order val="1"/>
          <c:tx>
            <c:strRef>
              <c:f>'2011 Q3 Rd &amp; Bridge'!$Q$47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Bridge'!$J$48:$J$50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'2011 Q3 Rd &amp; Bridge'!$Q$48:$Q$50</c:f>
              <c:numCache>
                <c:formatCode>0.00%</c:formatCode>
                <c:ptCount val="3"/>
                <c:pt idx="0">
                  <c:v>4.0498694220506413E-2</c:v>
                </c:pt>
                <c:pt idx="1">
                  <c:v>0.62700613190490562</c:v>
                </c:pt>
                <c:pt idx="2">
                  <c:v>0</c:v>
                </c:pt>
              </c:numCache>
            </c:numRef>
          </c:val>
        </c:ser>
        <c:ser>
          <c:idx val="1"/>
          <c:order val="2"/>
          <c:tx>
            <c:strRef>
              <c:f>'2011 Q3 Rd &amp; Bridge'!$U$47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Q3 Rd &amp; Bridge'!$U$48:$U$50</c:f>
              <c:numCache>
                <c:formatCode>0.00%</c:formatCode>
                <c:ptCount val="3"/>
                <c:pt idx="0">
                  <c:v>0.77696695810151006</c:v>
                </c:pt>
                <c:pt idx="1">
                  <c:v>0.51495904305780682</c:v>
                </c:pt>
                <c:pt idx="2">
                  <c:v>0</c:v>
                </c:pt>
              </c:numCache>
            </c:numRef>
          </c:val>
        </c:ser>
        <c:ser>
          <c:idx val="2"/>
          <c:order val="3"/>
          <c:tx>
            <c:strRef>
              <c:f>'2011 Q3 Rd &amp; Bridge'!$AA$47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Q3 Rd &amp; Bridge'!$AA$48:$AA$50</c:f>
              <c:numCache>
                <c:formatCode>0.00%</c:formatCode>
                <c:ptCount val="3"/>
                <c:pt idx="0">
                  <c:v>1.2131756557283979</c:v>
                </c:pt>
                <c:pt idx="1">
                  <c:v>0.55458825090632435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43776"/>
        <c:axId val="103653760"/>
      </c:barChart>
      <c:catAx>
        <c:axId val="10364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365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65376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3643776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19637960053199"/>
          <c:y val="0.93287255759696708"/>
          <c:w val="0.62535911710587744"/>
          <c:h val="0.980388354233498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6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2011 Road &amp; Bridge Fund Revenue by Source</a:t>
            </a:r>
          </a:p>
        </c:rich>
      </c:tx>
      <c:layout>
        <c:manualLayout>
          <c:xMode val="edge"/>
          <c:yMode val="edge"/>
          <c:x val="0.2548435171385991"/>
          <c:y val="1.40846103914430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23E-2"/>
          <c:w val="0.87928464977645282"/>
          <c:h val="0.732395373563179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Q2 Rd &amp; Bridge'!$D$16</c:f>
              <c:strCache>
                <c:ptCount val="1"/>
                <c:pt idx="0">
                  <c:v>YTD Collections as of 4/15/11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'2011 Q2 Rd &amp; Bridge'!$D$17:$D$22</c:f>
              <c:numCache>
                <c:formatCode>#,##0_);[Red]\(#,##0\)</c:formatCode>
                <c:ptCount val="6"/>
                <c:pt idx="0" formatCode="&quot;$&quot;#,##0_);[Red]\(&quot;$&quot;#,##0\)">
                  <c:v>0</c:v>
                </c:pt>
                <c:pt idx="1">
                  <c:v>684</c:v>
                </c:pt>
                <c:pt idx="2">
                  <c:v>5652315</c:v>
                </c:pt>
                <c:pt idx="3">
                  <c:v>810059</c:v>
                </c:pt>
                <c:pt idx="4">
                  <c:v>94928</c:v>
                </c:pt>
                <c:pt idx="5">
                  <c:v>3904</c:v>
                </c:pt>
              </c:numCache>
            </c:numRef>
          </c:val>
        </c:ser>
        <c:ser>
          <c:idx val="1"/>
          <c:order val="1"/>
          <c:tx>
            <c:strRef>
              <c:f>'2011 Q2 Rd &amp; Bridge'!$H$16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'2011 Q2 Rd &amp; Bridge'!$H$17:$H$22</c:f>
              <c:numCache>
                <c:formatCode>"$"#,##0_);[Red]\("$"#,##0\)</c:formatCode>
                <c:ptCount val="6"/>
                <c:pt idx="0">
                  <c:v>0</c:v>
                </c:pt>
                <c:pt idx="1">
                  <c:v>1316</c:v>
                </c:pt>
                <c:pt idx="2" formatCode="#,##0_);[Red]\(#,##0\)">
                  <c:v>7516685</c:v>
                </c:pt>
                <c:pt idx="3" formatCode="#,##0_);[Red]\(#,##0\)">
                  <c:v>1255941</c:v>
                </c:pt>
                <c:pt idx="4" formatCode="#,##0_);[Red]\(#,##0\)">
                  <c:v>25072</c:v>
                </c:pt>
                <c:pt idx="5" formatCode="#,##0_);[Red]\(#,##0\)">
                  <c:v>21096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885440"/>
        <c:axId val="103891712"/>
      </c:barChart>
      <c:lineChart>
        <c:grouping val="stacked"/>
        <c:varyColors val="0"/>
        <c:ser>
          <c:idx val="2"/>
          <c:order val="2"/>
          <c:tx>
            <c:strRef>
              <c:f>'2011 Q2 Rd &amp; Bridge'!$I$16</c:f>
              <c:strCache>
                <c:ptCount val="1"/>
                <c:pt idx="0">
                  <c:v>50%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Q2 Rd &amp; Bridge'!$I$17:$I$22</c:f>
              <c:numCache>
                <c:formatCode>0%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440"/>
        <c:axId val="103891712"/>
      </c:lineChart>
      <c:catAx>
        <c:axId val="10388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3891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891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3885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9061102831594637"/>
          <c:y val="0.93239550701323615"/>
          <c:w val="0.7704918032786886"/>
          <c:h val="0.99155053198995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2011 Road &amp; Bridge Fund Expenditures by Function Area</a:t>
            </a:r>
          </a:p>
        </c:rich>
      </c:tx>
      <c:layout>
        <c:manualLayout>
          <c:xMode val="edge"/>
          <c:yMode val="edge"/>
          <c:x val="0.20119225037257824"/>
          <c:y val="3.12501239612050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1618589743589744"/>
          <c:w val="0.87779433681073071"/>
          <c:h val="0.538461538461538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Q2 Rd &amp; Bridge'!$D$47</c:f>
              <c:strCache>
                <c:ptCount val="1"/>
                <c:pt idx="0">
                  <c:v>YTD Expenditures as of 4/15/11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Bridge'!$A$48:$B$50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'2011 Q2 Rd &amp; Bridge'!$D$48:$D$50</c:f>
              <c:numCache>
                <c:formatCode>#,##0_);[Red]\(#,##0\)</c:formatCode>
                <c:ptCount val="3"/>
                <c:pt idx="0" formatCode="&quot;$&quot;#,##0_);[Red]\(&quot;$&quot;#,##0\)">
                  <c:v>0</c:v>
                </c:pt>
                <c:pt idx="1">
                  <c:v>7614979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'2011 Q2 Rd &amp; Bridge'!$H$47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Bridge'!$A$48:$B$50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'2011 Q2 Rd &amp; Bridge'!$H$48:$H$50</c:f>
              <c:numCache>
                <c:formatCode>#,##0</c:formatCode>
                <c:ptCount val="3"/>
                <c:pt idx="0" formatCode="&quot;$&quot;#,##0_);[Red]\(&quot;$&quot;#,##0\)">
                  <c:v>44035</c:v>
                </c:pt>
                <c:pt idx="1">
                  <c:v>11573944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934208"/>
        <c:axId val="103956864"/>
      </c:barChart>
      <c:lineChart>
        <c:grouping val="stacked"/>
        <c:varyColors val="0"/>
        <c:ser>
          <c:idx val="2"/>
          <c:order val="2"/>
          <c:tx>
            <c:strRef>
              <c:f>'2011 Q2 Rd &amp; Bridge'!$G$47</c:f>
              <c:strCache>
                <c:ptCount val="1"/>
                <c:pt idx="0">
                  <c:v>50%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Q2 Rd &amp; Bridge'!$I$48:$I$50</c:f>
              <c:numCache>
                <c:formatCode>0%</c:formatCode>
                <c:ptCount val="3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34208"/>
        <c:axId val="103956864"/>
      </c:lineChart>
      <c:catAx>
        <c:axId val="10393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3956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956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3934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7570789865871831"/>
          <c:y val="0.9254807380815433"/>
          <c:w val="0.81073025335320414"/>
          <c:h val="0.978365298796088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74784"/>
        <c:axId val="103976320"/>
      </c:barChart>
      <c:catAx>
        <c:axId val="1039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97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97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974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06784"/>
        <c:axId val="104008320"/>
      </c:barChart>
      <c:catAx>
        <c:axId val="1040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00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00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006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34688"/>
        <c:axId val="104036224"/>
      </c:barChart>
      <c:catAx>
        <c:axId val="10403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036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4036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034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54144"/>
        <c:axId val="104076416"/>
      </c:barChart>
      <c:catAx>
        <c:axId val="1040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076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076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054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Road &amp; Bridge Fund Revenue 
Collected thru 2nd Quarter of Fiscal Year</a:t>
            </a:r>
          </a:p>
        </c:rich>
      </c:tx>
      <c:layout>
        <c:manualLayout>
          <c:xMode val="edge"/>
          <c:yMode val="edge"/>
          <c:x val="0.33284054729845158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86E-2"/>
          <c:y val="0.24011365674009302"/>
          <c:w val="0.88609531459131363"/>
          <c:h val="0.5480241106773886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Q2 Rd &amp; Bridge'!$M$16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Q2 Rd &amp; Bridge'!$M$17:$M$22</c:f>
              <c:numCache>
                <c:formatCode>0.00%</c:formatCode>
                <c:ptCount val="6"/>
                <c:pt idx="0">
                  <c:v>0</c:v>
                </c:pt>
                <c:pt idx="1">
                  <c:v>0.34200000000000003</c:v>
                </c:pt>
                <c:pt idx="2">
                  <c:v>0.42921368365099855</c:v>
                </c:pt>
                <c:pt idx="3">
                  <c:v>0.39209051306873183</c:v>
                </c:pt>
                <c:pt idx="4">
                  <c:v>0.7910666666666667</c:v>
                </c:pt>
                <c:pt idx="5">
                  <c:v>0.15615999999999999</c:v>
                </c:pt>
              </c:numCache>
            </c:numRef>
          </c:val>
        </c:ser>
        <c:ser>
          <c:idx val="0"/>
          <c:order val="1"/>
          <c:tx>
            <c:strRef>
              <c:f>'2011 Q2 Rd &amp; Bridge'!$P$16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Bridge'!$J$17:$J$22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'2011 Q2 Rd &amp; Bridge'!$P$17:$P$22</c:f>
              <c:numCache>
                <c:formatCode>0.00%</c:formatCode>
                <c:ptCount val="6"/>
                <c:pt idx="0">
                  <c:v>0.96748386524189167</c:v>
                </c:pt>
                <c:pt idx="1">
                  <c:v>0.33980582524271846</c:v>
                </c:pt>
                <c:pt idx="2">
                  <c:v>0.47334062122503712</c:v>
                </c:pt>
                <c:pt idx="3">
                  <c:v>0.37180657893876978</c:v>
                </c:pt>
                <c:pt idx="4">
                  <c:v>0.33272620789587048</c:v>
                </c:pt>
                <c:pt idx="5">
                  <c:v>1.4865570866141733</c:v>
                </c:pt>
              </c:numCache>
            </c:numRef>
          </c:val>
        </c:ser>
        <c:ser>
          <c:idx val="1"/>
          <c:order val="2"/>
          <c:tx>
            <c:strRef>
              <c:f>'2011 Q2 Rd &amp; Bridge'!$T$16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Q2 Rd &amp; Bridge'!$T$17:$T$22</c:f>
              <c:numCache>
                <c:formatCode>0.00%</c:formatCode>
                <c:ptCount val="6"/>
                <c:pt idx="0">
                  <c:v>0.96555208887880262</c:v>
                </c:pt>
                <c:pt idx="1">
                  <c:v>0.6097560975609756</c:v>
                </c:pt>
                <c:pt idx="2">
                  <c:v>0.50879177744357451</c:v>
                </c:pt>
                <c:pt idx="3">
                  <c:v>0.48126469291426338</c:v>
                </c:pt>
                <c:pt idx="4">
                  <c:v>0.50122134045043798</c:v>
                </c:pt>
                <c:pt idx="5">
                  <c:v>0.21702767267168743</c:v>
                </c:pt>
              </c:numCache>
            </c:numRef>
          </c:val>
        </c:ser>
        <c:ser>
          <c:idx val="2"/>
          <c:order val="3"/>
          <c:tx>
            <c:strRef>
              <c:f>'2011 Q2 Rd &amp; Bridge'!$X$16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Q2 Rd &amp; Bridge'!$X$17:$X$22</c:f>
              <c:numCache>
                <c:formatCode>0.00%</c:formatCode>
                <c:ptCount val="6"/>
                <c:pt idx="0">
                  <c:v>0.95888191919982113</c:v>
                </c:pt>
                <c:pt idx="1">
                  <c:v>0.39264568401371142</c:v>
                </c:pt>
                <c:pt idx="2">
                  <c:v>0.54711630660679589</c:v>
                </c:pt>
                <c:pt idx="3">
                  <c:v>0.1634336744568437</c:v>
                </c:pt>
                <c:pt idx="4">
                  <c:v>0.49101393963266771</c:v>
                </c:pt>
                <c:pt idx="5">
                  <c:v>0.87554271608240297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91008"/>
        <c:axId val="104100992"/>
      </c:barChart>
      <c:catAx>
        <c:axId val="10409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10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10099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091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751510351146932"/>
          <c:y val="0.91525690644601632"/>
          <c:w val="0.6684067154327602"/>
          <c:h val="0.974013375446713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% of Road &amp; Bridge Fund Expenditures 
Spent thru 2nd Quarter of Fiscal Year</a:t>
            </a:r>
          </a:p>
        </c:rich>
      </c:tx>
      <c:layout>
        <c:manualLayout>
          <c:xMode val="edge"/>
          <c:yMode val="edge"/>
          <c:x val="0.297583081570997"/>
          <c:y val="3.0092592592592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357E-2"/>
          <c:y val="0.20370416418946272"/>
          <c:w val="0.88821752265861031"/>
          <c:h val="0.5162048706164793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Q2 Rd &amp; Bridge'!$M$47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Q2 Rd &amp; Bridge'!$M$48:$M$50</c:f>
              <c:numCache>
                <c:formatCode>0%</c:formatCode>
                <c:ptCount val="3"/>
                <c:pt idx="0">
                  <c:v>0</c:v>
                </c:pt>
                <c:pt idx="1">
                  <c:v>0.39684243873405506</c:v>
                </c:pt>
                <c:pt idx="2">
                  <c:v>0</c:v>
                </c:pt>
              </c:numCache>
            </c:numRef>
          </c:val>
        </c:ser>
        <c:ser>
          <c:idx val="0"/>
          <c:order val="1"/>
          <c:tx>
            <c:strRef>
              <c:f>'2011 Q2 Rd &amp; Bridge'!$Q$47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Bridge'!$J$48:$J$50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'2011 Q2 Rd &amp; Bridge'!$Q$48:$Q$50</c:f>
              <c:numCache>
                <c:formatCode>0.00%</c:formatCode>
                <c:ptCount val="3"/>
                <c:pt idx="0">
                  <c:v>4.0498694220506413E-2</c:v>
                </c:pt>
                <c:pt idx="1">
                  <c:v>0.34271432567549881</c:v>
                </c:pt>
                <c:pt idx="2">
                  <c:v>0</c:v>
                </c:pt>
              </c:numCache>
            </c:numRef>
          </c:val>
        </c:ser>
        <c:ser>
          <c:idx val="1"/>
          <c:order val="2"/>
          <c:tx>
            <c:strRef>
              <c:f>'2011 Q2 Rd &amp; Bridge'!$U$47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Q2 Rd &amp; Bridge'!$U$48:$U$50</c:f>
              <c:numCache>
                <c:formatCode>0.00%</c:formatCode>
                <c:ptCount val="3"/>
                <c:pt idx="0">
                  <c:v>0</c:v>
                </c:pt>
                <c:pt idx="1">
                  <c:v>0.3460491116765198</c:v>
                </c:pt>
                <c:pt idx="2">
                  <c:v>0</c:v>
                </c:pt>
              </c:numCache>
            </c:numRef>
          </c:val>
        </c:ser>
        <c:ser>
          <c:idx val="2"/>
          <c:order val="3"/>
          <c:tx>
            <c:strRef>
              <c:f>'2011 Q2 Rd &amp; Bridge'!$AA$47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Q2 Rd &amp; Bridge'!$AA$48:$AA$50</c:f>
              <c:numCache>
                <c:formatCode>0.00%</c:formatCode>
                <c:ptCount val="3"/>
                <c:pt idx="0">
                  <c:v>0.50555421823549451</c:v>
                </c:pt>
                <c:pt idx="1">
                  <c:v>0.43162506823904467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119680"/>
        <c:axId val="104125568"/>
      </c:barChart>
      <c:catAx>
        <c:axId val="1041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125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12556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119680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19637462235651"/>
          <c:y val="0.93287255759696708"/>
          <c:w val="0.6253590884221043"/>
          <c:h val="0.980388354233498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6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2011 Road &amp; Bridge Fund Revenue by Source</a:t>
            </a:r>
          </a:p>
        </c:rich>
      </c:tx>
      <c:layout>
        <c:manualLayout>
          <c:xMode val="edge"/>
          <c:yMode val="edge"/>
          <c:x val="0.2548435171385991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Q1 Rd &amp; Bridge'!$D$16</c:f>
              <c:strCache>
                <c:ptCount val="1"/>
                <c:pt idx="0">
                  <c:v>YTD Collections as of 1/15/11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'2011 Q1 Rd &amp; Bridge'!$D$17:$D$22</c:f>
              <c:numCache>
                <c:formatCode>#,##0_);[Red]\(#,##0\)</c:formatCode>
                <c:ptCount val="6"/>
                <c:pt idx="0" formatCode="&quot;$&quot;#,##0_);[Red]\(&quot;$&quot;#,##0\)">
                  <c:v>0</c:v>
                </c:pt>
                <c:pt idx="1">
                  <c:v>234</c:v>
                </c:pt>
                <c:pt idx="2">
                  <c:v>1623662</c:v>
                </c:pt>
                <c:pt idx="3">
                  <c:v>316585</c:v>
                </c:pt>
                <c:pt idx="4">
                  <c:v>58080</c:v>
                </c:pt>
                <c:pt idx="5">
                  <c:v>2530</c:v>
                </c:pt>
              </c:numCache>
            </c:numRef>
          </c:val>
        </c:ser>
        <c:ser>
          <c:idx val="1"/>
          <c:order val="1"/>
          <c:tx>
            <c:strRef>
              <c:f>'2011 Q1 Rd &amp; Bridge'!$H$16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'2011 Q1 Rd &amp; Bridge'!$H$17:$H$22</c:f>
              <c:numCache>
                <c:formatCode>"$"#,##0_);[Red]\("$"#,##0\)</c:formatCode>
                <c:ptCount val="6"/>
                <c:pt idx="0">
                  <c:v>0</c:v>
                </c:pt>
                <c:pt idx="1">
                  <c:v>1766</c:v>
                </c:pt>
                <c:pt idx="2" formatCode="#,##0_);[Red]\(#,##0\)">
                  <c:v>11545338</c:v>
                </c:pt>
                <c:pt idx="3" formatCode="#,##0_);[Red]\(#,##0\)">
                  <c:v>1749415</c:v>
                </c:pt>
                <c:pt idx="4" formatCode="#,##0_);[Red]\(#,##0\)">
                  <c:v>61920</c:v>
                </c:pt>
                <c:pt idx="5" formatCode="#,##0_);[Red]\(#,##0\)">
                  <c:v>22470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185216"/>
        <c:axId val="104191488"/>
      </c:barChart>
      <c:lineChart>
        <c:grouping val="stacked"/>
        <c:varyColors val="0"/>
        <c:ser>
          <c:idx val="2"/>
          <c:order val="2"/>
          <c:tx>
            <c:strRef>
              <c:f>'2011 Q1 Rd &amp; Bridge'!$I$16</c:f>
              <c:strCache>
                <c:ptCount val="1"/>
                <c:pt idx="0">
                  <c:v>25%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Q1 Rd &amp; Bridge'!$I$17:$I$22</c:f>
              <c:numCache>
                <c:formatCode>0%</c:formatCode>
                <c:ptCount val="6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5216"/>
        <c:axId val="104191488"/>
      </c:lineChart>
      <c:catAx>
        <c:axId val="1041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19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19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185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9061102831594637"/>
          <c:y val="0.93239554914790579"/>
          <c:w val="0.7704918032786886"/>
          <c:h val="0.991550478725370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400"/>
              <a:t>FY 2013  Road &amp; Bridge Fund Revenue by Source</a:t>
            </a:r>
          </a:p>
        </c:rich>
      </c:tx>
      <c:layout>
        <c:manualLayout>
          <c:xMode val="edge"/>
          <c:yMode val="edge"/>
          <c:x val="0.19820609280899124"/>
          <c:y val="5.021052881984917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09E-2"/>
          <c:w val="0.87928464977645304"/>
          <c:h val="0.732395373563178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'2013 Q3 Rd &amp; Bridge'!$D$16</c:f>
              <c:strCache>
                <c:ptCount val="1"/>
                <c:pt idx="0">
                  <c:v>YTD Collections as of 7/15/13</c:v>
                </c:pt>
              </c:strCache>
            </c:strRef>
          </c:tx>
          <c:invertIfNegative val="0"/>
          <c:cat>
            <c:strRef>
              <c:f>'2013 Q3 Rd &amp; Bridge'!$A$17:$B$22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Misc./Proceeds F/A Disp</c:v>
                </c:pt>
              </c:strCache>
            </c:strRef>
          </c:cat>
          <c:val>
            <c:numRef>
              <c:f>'2013 Q3 Rd &amp; Bridge'!$D$17:$D$22</c:f>
              <c:numCache>
                <c:formatCode>#,##0_);[Red]\(#,##0\)</c:formatCode>
                <c:ptCount val="6"/>
                <c:pt idx="0" formatCode="&quot;$&quot;#,##0_);[Red]\(&quot;$&quot;#,##0\)">
                  <c:v>2239575</c:v>
                </c:pt>
                <c:pt idx="1">
                  <c:v>2817</c:v>
                </c:pt>
                <c:pt idx="2">
                  <c:v>7642815</c:v>
                </c:pt>
                <c:pt idx="3">
                  <c:v>1455955</c:v>
                </c:pt>
                <c:pt idx="4">
                  <c:v>77282</c:v>
                </c:pt>
                <c:pt idx="5">
                  <c:v>145830</c:v>
                </c:pt>
              </c:numCache>
            </c:numRef>
          </c:val>
        </c:ser>
        <c:ser>
          <c:idx val="1"/>
          <c:order val="1"/>
          <c:tx>
            <c:strRef>
              <c:f>'2013 Q3 Rd &amp; Bridge'!$H$16</c:f>
              <c:strCache>
                <c:ptCount val="1"/>
              </c:strCache>
            </c:strRef>
          </c:tx>
          <c:spPr>
            <a:pattFill prst="wdDn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2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3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4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5"/>
            <c:invertIfNegative val="0"/>
            <c:bubble3D val="0"/>
            <c:spPr>
              <a:pattFill prst="dk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dPt>
            <c:idx val="6"/>
            <c:invertIfNegative val="0"/>
            <c:bubble3D val="0"/>
            <c:spPr>
              <a:pattFill prst="dk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</c:spPr>
          </c:dPt>
          <c:cat>
            <c:strRef>
              <c:f>'2013 Q3 Rd &amp; Bridge'!$A$17:$B$22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Misc./Proceeds F/A Disp</c:v>
                </c:pt>
              </c:strCache>
            </c:strRef>
          </c:cat>
          <c:val>
            <c:numRef>
              <c:f>'2013 Q3 Rd &amp; Bridge'!$H$17:$H$22</c:f>
              <c:numCache>
                <c:formatCode>#,##0_);[Red]\(#,##0\)</c:formatCode>
                <c:ptCount val="6"/>
                <c:pt idx="0" formatCode="&quot;$&quot;#,##0_);[Red]\(&quot;$&quot;#,##0\)">
                  <c:v>0</c:v>
                </c:pt>
                <c:pt idx="1">
                  <c:v>0</c:v>
                </c:pt>
                <c:pt idx="2">
                  <c:v>7364806</c:v>
                </c:pt>
                <c:pt idx="3">
                  <c:v>251257</c:v>
                </c:pt>
                <c:pt idx="4">
                  <c:v>62718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276864"/>
        <c:axId val="36455552"/>
      </c:barChart>
      <c:lineChart>
        <c:grouping val="stacked"/>
        <c:varyColors val="0"/>
        <c:ser>
          <c:idx val="2"/>
          <c:order val="2"/>
          <c:tx>
            <c:strRef>
              <c:f>'2013 Q3 Rd &amp; Bridge'!$I$16</c:f>
              <c:strCache>
                <c:ptCount val="1"/>
                <c:pt idx="0">
                  <c:v>75%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'2013 Q3 Rd &amp; Bridge'!$I$17:$I$22</c:f>
              <c:numCache>
                <c:formatCode>0%</c:formatCode>
                <c:ptCount val="6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6864"/>
        <c:axId val="36455552"/>
      </c:lineChart>
      <c:catAx>
        <c:axId val="362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3645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4555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6276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061100646223087"/>
          <c:y val="0.93239554914790579"/>
          <c:w val="0.47988081727525517"/>
          <c:h val="5.9154929577464821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2011 Road &amp; Bridge Fund Expenditures by Function Area</a:t>
            </a:r>
          </a:p>
        </c:rich>
      </c:tx>
      <c:layout>
        <c:manualLayout>
          <c:xMode val="edge"/>
          <c:yMode val="edge"/>
          <c:x val="0.20119225037257824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4128166915052"/>
          <c:y val="0.12259615384615384"/>
          <c:w val="0.87779433681073027"/>
          <c:h val="0.538461538461538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'2011 Q1 Rd &amp; Bridge'!$D$47</c:f>
              <c:strCache>
                <c:ptCount val="1"/>
                <c:pt idx="0">
                  <c:v>YTD Expenditures as of 1/15/11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Bridge'!$A$48:$B$50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'2011 Q1 Rd &amp; Bridge'!$D$48:$D$50</c:f>
              <c:numCache>
                <c:formatCode>#,##0_);[Red]\(#,##0\)</c:formatCode>
                <c:ptCount val="3"/>
                <c:pt idx="0" formatCode="&quot;$&quot;#,##0_);[Red]\(&quot;$&quot;#,##0\)">
                  <c:v>0</c:v>
                </c:pt>
                <c:pt idx="1">
                  <c:v>3387465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'2011 Q1 Rd &amp; Bridge'!$H$47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Bridge'!$A$48:$B$50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'2011 Q1 Rd &amp; Bridge'!$H$48:$H$50</c:f>
              <c:numCache>
                <c:formatCode>#,##0</c:formatCode>
                <c:ptCount val="3"/>
                <c:pt idx="0" formatCode="&quot;$&quot;#,##0_);[Red]\(&quot;$&quot;#,##0\)">
                  <c:v>44035</c:v>
                </c:pt>
                <c:pt idx="1">
                  <c:v>15801458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201216"/>
        <c:axId val="104293504"/>
      </c:barChart>
      <c:lineChart>
        <c:grouping val="stacked"/>
        <c:varyColors val="0"/>
        <c:ser>
          <c:idx val="2"/>
          <c:order val="2"/>
          <c:tx>
            <c:strRef>
              <c:f>'2011 Q1 Rd &amp; Bridge'!$G$47</c:f>
              <c:strCache>
                <c:ptCount val="1"/>
                <c:pt idx="0">
                  <c:v>25%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'2011 Q1 Rd &amp; Bridge'!$I$48:$I$50</c:f>
              <c:numCache>
                <c:formatCode>0%</c:formatCode>
                <c:ptCount val="3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01216"/>
        <c:axId val="104293504"/>
      </c:lineChart>
      <c:catAx>
        <c:axId val="10420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293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29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201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7570789865871831"/>
          <c:y val="0.92548076923076927"/>
          <c:w val="0.81073025335320414"/>
          <c:h val="0.978365384615384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'2011 Q1 Rd &amp; Bridge'!#REF!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'2011 Q1 Rd &amp; Bridge'!#REF!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'2011 Q1 Rd &amp; Bridge'!#REF!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03232"/>
        <c:axId val="104309120"/>
      </c:barChart>
      <c:catAx>
        <c:axId val="10430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309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309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303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Functional Area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'2011 Q1 Rd &amp; Bridge'!#REF!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'2011 Q1 Rd &amp; Bridge'!#REF!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'2011 Q1 Rd &amp; Bridge'!#REF!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96096"/>
        <c:axId val="105397632"/>
      </c:barChart>
      <c:catAx>
        <c:axId val="10539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39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39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396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Revenues by Revenue Source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'2011 Q1 Rd &amp; Bridge'!#REF!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'2011 Q1 Rd &amp; Bridge'!#REF!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'2011 Q1 Rd &amp; Bridge'!#REF!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45184"/>
        <c:axId val="105646720"/>
      </c:barChart>
      <c:catAx>
        <c:axId val="10564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646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5646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6451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Revenues by Quarter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'2011 Q1 Rd &amp; Bridge'!#REF!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'2011 Q1 Rd &amp; Bridge'!#REF!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'2011 Q1 Rd &amp; Bridge'!#REF!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'2011 Q1 Rd &amp; Bridge'!#REF!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97664"/>
        <c:axId val="105699200"/>
      </c:barChart>
      <c:catAx>
        <c:axId val="1056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69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699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697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Road &amp; Bridge Fund Revenue 
Collected 1st Quarter of Fiscal Year</a:t>
            </a:r>
          </a:p>
        </c:rich>
      </c:tx>
      <c:layout>
        <c:manualLayout>
          <c:xMode val="edge"/>
          <c:yMode val="edge"/>
          <c:x val="0.33284054729845158"/>
          <c:y val="3.3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95333588068016E-2"/>
          <c:y val="0.24011365674009297"/>
          <c:w val="0.88609531459131341"/>
          <c:h val="0.5480241106773886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Q1 Rd &amp; Bridge'!$M$16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Q1 Rd &amp; Bridge'!$M$17:$M$22</c:f>
              <c:numCache>
                <c:formatCode>0.00%</c:formatCode>
                <c:ptCount val="6"/>
                <c:pt idx="0">
                  <c:v>0</c:v>
                </c:pt>
                <c:pt idx="1">
                  <c:v>0.11700000000000001</c:v>
                </c:pt>
                <c:pt idx="2">
                  <c:v>0.12329425165160604</c:v>
                </c:pt>
                <c:pt idx="3">
                  <c:v>0.15323572120038723</c:v>
                </c:pt>
                <c:pt idx="4">
                  <c:v>0.48399999999999999</c:v>
                </c:pt>
                <c:pt idx="5">
                  <c:v>0.1012</c:v>
                </c:pt>
              </c:numCache>
            </c:numRef>
          </c:val>
        </c:ser>
        <c:ser>
          <c:idx val="0"/>
          <c:order val="1"/>
          <c:tx>
            <c:strRef>
              <c:f>'2011 Q1 Rd &amp; Bridge'!$P$16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Bridge'!$J$17:$J$22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'2011 Q1 Rd &amp; Bridge'!$P$17:$P$22</c:f>
              <c:numCache>
                <c:formatCode>0.00%</c:formatCode>
                <c:ptCount val="6"/>
                <c:pt idx="0">
                  <c:v>0.54067091363636888</c:v>
                </c:pt>
                <c:pt idx="1">
                  <c:v>0.1941747572815534</c:v>
                </c:pt>
                <c:pt idx="2">
                  <c:v>0.12633585293799077</c:v>
                </c:pt>
                <c:pt idx="3">
                  <c:v>0.20603985004498213</c:v>
                </c:pt>
                <c:pt idx="4">
                  <c:v>0.20654857395124626</c:v>
                </c:pt>
                <c:pt idx="5">
                  <c:v>0.60622244094488187</c:v>
                </c:pt>
              </c:numCache>
            </c:numRef>
          </c:val>
        </c:ser>
        <c:ser>
          <c:idx val="1"/>
          <c:order val="2"/>
          <c:tx>
            <c:strRef>
              <c:f>'2011 Q1 Rd &amp; Bridge'!$T$16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Q1 Rd &amp; Bridge'!$T$17:$T$22</c:f>
              <c:numCache>
                <c:formatCode>0.00%</c:formatCode>
                <c:ptCount val="6"/>
                <c:pt idx="0">
                  <c:v>0.45221755781894113</c:v>
                </c:pt>
                <c:pt idx="1">
                  <c:v>0.42073170731707316</c:v>
                </c:pt>
                <c:pt idx="2">
                  <c:v>0.1091125078739188</c:v>
                </c:pt>
                <c:pt idx="3">
                  <c:v>0.2309762487173557</c:v>
                </c:pt>
                <c:pt idx="4">
                  <c:v>0.25664901760646508</c:v>
                </c:pt>
                <c:pt idx="5">
                  <c:v>2.7606752549885899E-2</c:v>
                </c:pt>
              </c:numCache>
            </c:numRef>
          </c:val>
        </c:ser>
        <c:ser>
          <c:idx val="2"/>
          <c:order val="3"/>
          <c:tx>
            <c:strRef>
              <c:f>'2011 Q1 Rd &amp; Bridge'!$X$16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Q1 Rd &amp; Bridge'!$X$17:$X$22</c:f>
              <c:numCache>
                <c:formatCode>0.00%</c:formatCode>
                <c:ptCount val="6"/>
                <c:pt idx="0">
                  <c:v>0.45655657318112042</c:v>
                </c:pt>
                <c:pt idx="1">
                  <c:v>0.15705827360548458</c:v>
                </c:pt>
                <c:pt idx="2">
                  <c:v>0.1046203084105263</c:v>
                </c:pt>
                <c:pt idx="3">
                  <c:v>9.8892446644556861E-2</c:v>
                </c:pt>
                <c:pt idx="4">
                  <c:v>0.24576268979920024</c:v>
                </c:pt>
                <c:pt idx="5">
                  <c:v>0.74373633346637835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22240"/>
        <c:axId val="105723776"/>
      </c:barChart>
      <c:catAx>
        <c:axId val="1057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572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72377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5722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751510351146932"/>
          <c:y val="0.91525690644601632"/>
          <c:w val="0.24089161192129088"/>
          <c:h val="5.87564690006969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% of Road &amp; Bridge Fund Expenditures 
Spent 1st Quarter of Fiscal Year</a:t>
            </a:r>
          </a:p>
        </c:rich>
      </c:tx>
      <c:layout>
        <c:manualLayout>
          <c:xMode val="edge"/>
          <c:yMode val="edge"/>
          <c:x val="0.297583081570997"/>
          <c:y val="3.0092592592592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34441087613288E-2"/>
          <c:y val="0.20370416418946261"/>
          <c:w val="0.88821752265861031"/>
          <c:h val="0.5162048706164791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'2011 Q1 Rd &amp; Bridge'!$M$47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84E175"/>
            </a:solidFill>
          </c:spPr>
          <c:invertIfNegative val="0"/>
          <c:val>
            <c:numRef>
              <c:f>'2011 Q1 Rd &amp; Bridge'!$M$48:$M$50</c:f>
              <c:numCache>
                <c:formatCode>0%</c:formatCode>
                <c:ptCount val="3"/>
                <c:pt idx="0">
                  <c:v>0</c:v>
                </c:pt>
                <c:pt idx="1">
                  <c:v>0.17653231502362066</c:v>
                </c:pt>
                <c:pt idx="2">
                  <c:v>0</c:v>
                </c:pt>
              </c:numCache>
            </c:numRef>
          </c:val>
        </c:ser>
        <c:ser>
          <c:idx val="0"/>
          <c:order val="1"/>
          <c:tx>
            <c:strRef>
              <c:f>'2011 Q1 Rd &amp; Bridge'!$Q$47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Bridge'!$J$48:$J$50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'2011 Q1 Rd &amp; Bridge'!$Q$48:$Q$50</c:f>
              <c:numCache>
                <c:formatCode>0.00%</c:formatCode>
                <c:ptCount val="3"/>
                <c:pt idx="0">
                  <c:v>4.0498694220506413E-2</c:v>
                </c:pt>
                <c:pt idx="1">
                  <c:v>0.13855575538787468</c:v>
                </c:pt>
                <c:pt idx="2">
                  <c:v>0</c:v>
                </c:pt>
              </c:numCache>
            </c:numRef>
          </c:val>
        </c:ser>
        <c:ser>
          <c:idx val="1"/>
          <c:order val="2"/>
          <c:tx>
            <c:strRef>
              <c:f>'2011 Q1 Rd &amp; Bridge'!$U$47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Q1 Rd &amp; Bridge'!$U$48:$U$50</c:f>
              <c:numCache>
                <c:formatCode>0.00%</c:formatCode>
                <c:ptCount val="3"/>
                <c:pt idx="0">
                  <c:v>0.3263149767230612</c:v>
                </c:pt>
                <c:pt idx="1">
                  <c:v>0.19537732639066857</c:v>
                </c:pt>
                <c:pt idx="2">
                  <c:v>0</c:v>
                </c:pt>
              </c:numCache>
            </c:numRef>
          </c:val>
        </c:ser>
        <c:ser>
          <c:idx val="2"/>
          <c:order val="3"/>
          <c:tx>
            <c:strRef>
              <c:f>'2011 Q1 Rd &amp; Bridge'!$AA$47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'2011 Q1 Rd &amp; Bridge'!$AA$48:$AA$50</c:f>
              <c:numCache>
                <c:formatCode>0.00%</c:formatCode>
                <c:ptCount val="3"/>
                <c:pt idx="0">
                  <c:v>0.17135187918701034</c:v>
                </c:pt>
                <c:pt idx="1">
                  <c:v>0.15957815713781437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918848"/>
        <c:axId val="105920384"/>
      </c:barChart>
      <c:catAx>
        <c:axId val="1059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592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92038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5918848"/>
        <c:crosses val="autoZero"/>
        <c:crossBetween val="between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19637462235651"/>
          <c:y val="0.93287255759696708"/>
          <c:w val="0.2401627137997478"/>
          <c:h val="4.751579663653149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6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2010 Road &amp; Bridge Fund Revenue by Source</a:t>
            </a:r>
          </a:p>
        </c:rich>
      </c:tx>
      <c:layout>
        <c:manualLayout>
          <c:xMode val="edge"/>
          <c:yMode val="edge"/>
          <c:x val="0.25484357834266147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18777943368111E-2"/>
          <c:y val="9.0140969053929723E-2"/>
          <c:w val="0.87928464977645282"/>
          <c:h val="0.732395373563179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'2010 Q2 Rd &amp; Bridge'!$D$16</c:f>
              <c:strCache>
                <c:ptCount val="1"/>
                <c:pt idx="0">
                  <c:v>YTD Collections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Q2 Rd &amp; Bridge'!$A$17:$B$22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'2010 Q2 Rd &amp; Bridge'!$D$17:$D$22</c:f>
              <c:numCache>
                <c:formatCode>_(* #,##0_);_(* \(#,##0\);_(* "-"??_);_(@_)</c:formatCode>
                <c:ptCount val="6"/>
                <c:pt idx="0" formatCode="&quot;$&quot;#,##0_);[Red]\(&quot;$&quot;#,##0\)">
                  <c:v>4196940.17</c:v>
                </c:pt>
                <c:pt idx="1">
                  <c:v>630</c:v>
                </c:pt>
                <c:pt idx="2">
                  <c:v>5724813.4099999992</c:v>
                </c:pt>
                <c:pt idx="3">
                  <c:v>853428.09</c:v>
                </c:pt>
                <c:pt idx="4">
                  <c:v>93456.47</c:v>
                </c:pt>
                <c:pt idx="5">
                  <c:v>37758.550000000003</c:v>
                </c:pt>
              </c:numCache>
            </c:numRef>
          </c:val>
        </c:ser>
        <c:ser>
          <c:idx val="1"/>
          <c:order val="1"/>
          <c:tx>
            <c:strRef>
              <c:f>'2010 Q2 Rd &amp; Bridge'!$H$16</c:f>
              <c:strCache>
                <c:ptCount val="1"/>
                <c:pt idx="0">
                  <c:v>Remaining Collections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 Q2 Rd &amp; Bridge'!$A$17:$B$22</c:f>
              <c:strCache>
                <c:ptCount val="6"/>
                <c:pt idx="0">
                  <c:v>Current / Delinquent Taxes</c:v>
                </c:pt>
                <c:pt idx="1">
                  <c:v>License / Permits</c:v>
                </c:pt>
                <c:pt idx="2">
                  <c:v>Fees/Charges for Services</c:v>
                </c:pt>
                <c:pt idx="3">
                  <c:v>Fines</c:v>
                </c:pt>
                <c:pt idx="4">
                  <c:v>Investment Revenue</c:v>
                </c:pt>
                <c:pt idx="5">
                  <c:v>Miscellaneous</c:v>
                </c:pt>
              </c:strCache>
            </c:strRef>
          </c:cat>
          <c:val>
            <c:numRef>
              <c:f>'2010 Q2 Rd &amp; Bridge'!$H$17:$H$22</c:f>
              <c:numCache>
                <c:formatCode>"$"#,##0_);[Red]\("$"#,##0\)</c:formatCode>
                <c:ptCount val="6"/>
                <c:pt idx="0">
                  <c:v>141054.83000000007</c:v>
                </c:pt>
                <c:pt idx="1">
                  <c:v>1224</c:v>
                </c:pt>
                <c:pt idx="2" formatCode="#,##0_);[Red]\(#,##0\)">
                  <c:v>6369676.5900000008</c:v>
                </c:pt>
                <c:pt idx="3" formatCode="#,##0_);[Red]\(#,##0\)">
                  <c:v>1441926.9100000001</c:v>
                </c:pt>
                <c:pt idx="4" formatCode="#,##0_);[Red]\(#,##0\)">
                  <c:v>187424.53</c:v>
                </c:pt>
                <c:pt idx="5" formatCode="#,##0_);[Red]\(#,##0\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134784"/>
        <c:axId val="108136704"/>
      </c:barChart>
      <c:lineChart>
        <c:grouping val="stacked"/>
        <c:varyColors val="0"/>
        <c:ser>
          <c:idx val="2"/>
          <c:order val="2"/>
          <c:tx>
            <c:strRef>
              <c:f>'2010 Q2 Rd &amp; Bridge'!$I$16</c:f>
              <c:strCache>
                <c:ptCount val="1"/>
                <c:pt idx="0">
                  <c:v>50%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'2010 Q2 Rd &amp; Bridge'!$I$17:$I$22</c:f>
              <c:numCache>
                <c:formatCode>0%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34784"/>
        <c:axId val="108136704"/>
      </c:lineChart>
      <c:catAx>
        <c:axId val="1081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136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136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134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9061102522002102"/>
          <c:y val="0.93239554914790579"/>
          <c:w val="0.77049181637683417"/>
          <c:h val="0.991550478725370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FY 2010 Road &amp; Bridge Fund Expenditures by Function Area</a:t>
            </a:r>
          </a:p>
        </c:rich>
      </c:tx>
      <c:layout>
        <c:manualLayout>
          <c:xMode val="edge"/>
          <c:yMode val="edge"/>
          <c:x val="0.20119224822924531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392945851962242E-2"/>
          <c:y val="0.11298076923076923"/>
          <c:w val="0.87779433681073071"/>
          <c:h val="0.538461538461538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'2010 Q2 Rd &amp; Bridge'!$D$47</c:f>
              <c:strCache>
                <c:ptCount val="1"/>
                <c:pt idx="0">
                  <c:v>YTD Expenditures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Bridge'!$A$48:$B$50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'2010 Q2 Rd &amp; Bridge'!$D$48:$D$50</c:f>
              <c:numCache>
                <c:formatCode>_(* #,##0_);_(* \(#,##0\);_(* "-"??_);_(@_)</c:formatCode>
                <c:ptCount val="3"/>
                <c:pt idx="0" formatCode="&quot;$&quot;#,##0_);[Red]\(&quot;$&quot;#,##0\)">
                  <c:v>1783.36</c:v>
                </c:pt>
                <c:pt idx="1">
                  <c:v>6630607.8399999999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'2010 Q2 Rd &amp; Bridge'!$H$47</c:f>
              <c:strCache>
                <c:ptCount val="1"/>
                <c:pt idx="0">
                  <c:v>Remaining Expenditures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 Q1 Rd &amp; Bridge'!$A$48:$B$50</c:f>
              <c:strCache>
                <c:ptCount val="3"/>
                <c:pt idx="0">
                  <c:v>Conservation</c:v>
                </c:pt>
                <c:pt idx="1">
                  <c:v>Public Transport</c:v>
                </c:pt>
                <c:pt idx="2">
                  <c:v>Transfers</c:v>
                </c:pt>
              </c:strCache>
            </c:strRef>
          </c:cat>
          <c:val>
            <c:numRef>
              <c:f>'2010 Q2 Rd &amp; Bridge'!$H$48:$H$50</c:f>
              <c:numCache>
                <c:formatCode>#,##0</c:formatCode>
                <c:ptCount val="3"/>
                <c:pt idx="0" formatCode="&quot;$&quot;#,##0_);[Red]\(&quot;$&quot;#,##0\)">
                  <c:v>42251.64</c:v>
                </c:pt>
                <c:pt idx="1">
                  <c:v>12716724.16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167168"/>
        <c:axId val="108169088"/>
      </c:barChart>
      <c:lineChart>
        <c:grouping val="stacked"/>
        <c:varyColors val="0"/>
        <c:ser>
          <c:idx val="2"/>
          <c:order val="2"/>
          <c:tx>
            <c:strRef>
              <c:f>'2010 Q2 Rd &amp; Bridge'!$G$47</c:f>
              <c:strCache>
                <c:ptCount val="1"/>
                <c:pt idx="0">
                  <c:v>50%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'2010 Q2 Rd &amp; Bridge'!$I$48:$I$50</c:f>
              <c:numCache>
                <c:formatCode>0%</c:formatCode>
                <c:ptCount val="3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67168"/>
        <c:axId val="108169088"/>
      </c:lineChart>
      <c:catAx>
        <c:axId val="10816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16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169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8167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7570784245576607"/>
          <c:y val="0.92548076923076927"/>
          <c:w val="0.81073023406320777"/>
          <c:h val="0.978365384615384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General Fund - 1st Quarter Expenditures by Budget Category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82912"/>
        <c:axId val="108196992"/>
      </c:barChart>
      <c:catAx>
        <c:axId val="10818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196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196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182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9.xml"/><Relationship Id="rId3" Type="http://schemas.openxmlformats.org/officeDocument/2006/relationships/chart" Target="../charts/chart74.xml"/><Relationship Id="rId7" Type="http://schemas.openxmlformats.org/officeDocument/2006/relationships/chart" Target="../charts/chart78.xml"/><Relationship Id="rId2" Type="http://schemas.openxmlformats.org/officeDocument/2006/relationships/chart" Target="../charts/chart73.xml"/><Relationship Id="rId1" Type="http://schemas.openxmlformats.org/officeDocument/2006/relationships/image" Target="../media/image2.png"/><Relationship Id="rId6" Type="http://schemas.openxmlformats.org/officeDocument/2006/relationships/chart" Target="../charts/chart77.xml"/><Relationship Id="rId5" Type="http://schemas.openxmlformats.org/officeDocument/2006/relationships/chart" Target="../charts/chart76.xml"/><Relationship Id="rId4" Type="http://schemas.openxmlformats.org/officeDocument/2006/relationships/chart" Target="../charts/chart75.xml"/><Relationship Id="rId9" Type="http://schemas.openxmlformats.org/officeDocument/2006/relationships/chart" Target="../charts/chart80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chart" Target="../charts/chart82.xml"/><Relationship Id="rId7" Type="http://schemas.openxmlformats.org/officeDocument/2006/relationships/chart" Target="../charts/chart86.xml"/><Relationship Id="rId2" Type="http://schemas.openxmlformats.org/officeDocument/2006/relationships/chart" Target="../charts/chart81.xml"/><Relationship Id="rId1" Type="http://schemas.openxmlformats.org/officeDocument/2006/relationships/image" Target="../media/image2.png"/><Relationship Id="rId6" Type="http://schemas.openxmlformats.org/officeDocument/2006/relationships/chart" Target="../charts/chart85.xml"/><Relationship Id="rId5" Type="http://schemas.openxmlformats.org/officeDocument/2006/relationships/chart" Target="../charts/chart84.xml"/><Relationship Id="rId4" Type="http://schemas.openxmlformats.org/officeDocument/2006/relationships/chart" Target="../charts/chart83.xml"/><Relationship Id="rId9" Type="http://schemas.openxmlformats.org/officeDocument/2006/relationships/chart" Target="../charts/chart88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5.xml"/><Relationship Id="rId3" Type="http://schemas.openxmlformats.org/officeDocument/2006/relationships/chart" Target="../charts/chart90.xml"/><Relationship Id="rId7" Type="http://schemas.openxmlformats.org/officeDocument/2006/relationships/chart" Target="../charts/chart94.xml"/><Relationship Id="rId2" Type="http://schemas.openxmlformats.org/officeDocument/2006/relationships/chart" Target="../charts/chart89.xml"/><Relationship Id="rId1" Type="http://schemas.openxmlformats.org/officeDocument/2006/relationships/image" Target="../media/image1.png"/><Relationship Id="rId6" Type="http://schemas.openxmlformats.org/officeDocument/2006/relationships/chart" Target="../charts/chart93.xml"/><Relationship Id="rId5" Type="http://schemas.openxmlformats.org/officeDocument/2006/relationships/chart" Target="../charts/chart92.xml"/><Relationship Id="rId4" Type="http://schemas.openxmlformats.org/officeDocument/2006/relationships/chart" Target="../charts/chart91.xml"/><Relationship Id="rId9" Type="http://schemas.openxmlformats.org/officeDocument/2006/relationships/chart" Target="../charts/chart96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3.xml"/><Relationship Id="rId3" Type="http://schemas.openxmlformats.org/officeDocument/2006/relationships/chart" Target="../charts/chart98.xml"/><Relationship Id="rId7" Type="http://schemas.openxmlformats.org/officeDocument/2006/relationships/chart" Target="../charts/chart102.xml"/><Relationship Id="rId2" Type="http://schemas.openxmlformats.org/officeDocument/2006/relationships/chart" Target="../charts/chart97.xml"/><Relationship Id="rId1" Type="http://schemas.openxmlformats.org/officeDocument/2006/relationships/image" Target="../media/image2.png"/><Relationship Id="rId6" Type="http://schemas.openxmlformats.org/officeDocument/2006/relationships/chart" Target="../charts/chart101.xml"/><Relationship Id="rId5" Type="http://schemas.openxmlformats.org/officeDocument/2006/relationships/chart" Target="../charts/chart100.xml"/><Relationship Id="rId4" Type="http://schemas.openxmlformats.org/officeDocument/2006/relationships/chart" Target="../charts/chart99.xml"/><Relationship Id="rId9" Type="http://schemas.openxmlformats.org/officeDocument/2006/relationships/chart" Target="../charts/chart104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1.xml"/><Relationship Id="rId3" Type="http://schemas.openxmlformats.org/officeDocument/2006/relationships/chart" Target="../charts/chart106.xml"/><Relationship Id="rId7" Type="http://schemas.openxmlformats.org/officeDocument/2006/relationships/chart" Target="../charts/chart110.xml"/><Relationship Id="rId2" Type="http://schemas.openxmlformats.org/officeDocument/2006/relationships/chart" Target="../charts/chart105.xml"/><Relationship Id="rId1" Type="http://schemas.openxmlformats.org/officeDocument/2006/relationships/image" Target="../media/image3.png"/><Relationship Id="rId6" Type="http://schemas.openxmlformats.org/officeDocument/2006/relationships/chart" Target="../charts/chart109.xml"/><Relationship Id="rId5" Type="http://schemas.openxmlformats.org/officeDocument/2006/relationships/chart" Target="../charts/chart108.xml"/><Relationship Id="rId4" Type="http://schemas.openxmlformats.org/officeDocument/2006/relationships/chart" Target="../charts/chart107.xml"/><Relationship Id="rId9" Type="http://schemas.openxmlformats.org/officeDocument/2006/relationships/chart" Target="../charts/chart112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9.xml"/><Relationship Id="rId3" Type="http://schemas.openxmlformats.org/officeDocument/2006/relationships/chart" Target="../charts/chart114.xml"/><Relationship Id="rId7" Type="http://schemas.openxmlformats.org/officeDocument/2006/relationships/chart" Target="../charts/chart118.xml"/><Relationship Id="rId2" Type="http://schemas.openxmlformats.org/officeDocument/2006/relationships/chart" Target="../charts/chart113.xml"/><Relationship Id="rId1" Type="http://schemas.openxmlformats.org/officeDocument/2006/relationships/image" Target="../media/image3.png"/><Relationship Id="rId6" Type="http://schemas.openxmlformats.org/officeDocument/2006/relationships/chart" Target="../charts/chart117.xml"/><Relationship Id="rId5" Type="http://schemas.openxmlformats.org/officeDocument/2006/relationships/chart" Target="../charts/chart116.xml"/><Relationship Id="rId4" Type="http://schemas.openxmlformats.org/officeDocument/2006/relationships/chart" Target="../charts/chart115.xml"/><Relationship Id="rId9" Type="http://schemas.openxmlformats.org/officeDocument/2006/relationships/chart" Target="../charts/chart12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3" Type="http://schemas.openxmlformats.org/officeDocument/2006/relationships/chart" Target="../charts/chart26.xml"/><Relationship Id="rId7" Type="http://schemas.openxmlformats.org/officeDocument/2006/relationships/chart" Target="../charts/chart30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6" Type="http://schemas.openxmlformats.org/officeDocument/2006/relationships/chart" Target="../charts/chart29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Relationship Id="rId9" Type="http://schemas.openxmlformats.org/officeDocument/2006/relationships/chart" Target="../charts/chart3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5.xml"/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Relationship Id="rId9" Type="http://schemas.openxmlformats.org/officeDocument/2006/relationships/chart" Target="../charts/chart5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Relationship Id="rId9" Type="http://schemas.openxmlformats.org/officeDocument/2006/relationships/chart" Target="../charts/chart64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image" Target="../media/image2.png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2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80</xdr:row>
      <xdr:rowOff>47625</xdr:rowOff>
    </xdr:from>
    <xdr:to>
      <xdr:col>5</xdr:col>
      <xdr:colOff>1419225</xdr:colOff>
      <xdr:row>101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47626</xdr:colOff>
      <xdr:row>103</xdr:row>
      <xdr:rowOff>85725</xdr:rowOff>
    </xdr:from>
    <xdr:to>
      <xdr:col>5</xdr:col>
      <xdr:colOff>1407585</xdr:colOff>
      <xdr:row>125</xdr:row>
      <xdr:rowOff>127000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5</xdr:col>
      <xdr:colOff>1447800</xdr:colOff>
      <xdr:row>79</xdr:row>
      <xdr:rowOff>0</xdr:rowOff>
    </xdr:to>
    <xdr:graphicFrame macro="">
      <xdr:nvGraphicFramePr>
        <xdr:cNvPr id="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9525</xdr:colOff>
      <xdr:row>79</xdr:row>
      <xdr:rowOff>0</xdr:rowOff>
    </xdr:to>
    <xdr:graphicFrame macro="">
      <xdr:nvGraphicFramePr>
        <xdr:cNvPr id="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0</xdr:colOff>
      <xdr:row>79</xdr:row>
      <xdr:rowOff>0</xdr:rowOff>
    </xdr:to>
    <xdr:graphicFrame macro="">
      <xdr:nvGraphicFramePr>
        <xdr:cNvPr id="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19050</xdr:colOff>
      <xdr:row>79</xdr:row>
      <xdr:rowOff>0</xdr:rowOff>
    </xdr:to>
    <xdr:graphicFrame macro="">
      <xdr:nvGraphicFramePr>
        <xdr:cNvPr id="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23</xdr:row>
      <xdr:rowOff>123825</xdr:rowOff>
    </xdr:from>
    <xdr:to>
      <xdr:col>5</xdr:col>
      <xdr:colOff>1438275</xdr:colOff>
      <xdr:row>43</xdr:row>
      <xdr:rowOff>133350</xdr:rowOff>
    </xdr:to>
    <xdr:graphicFrame macro="">
      <xdr:nvGraphicFramePr>
        <xdr:cNvPr id="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53</xdr:row>
      <xdr:rowOff>0</xdr:rowOff>
    </xdr:from>
    <xdr:to>
      <xdr:col>5</xdr:col>
      <xdr:colOff>1352550</xdr:colOff>
      <xdr:row>78</xdr:row>
      <xdr:rowOff>66675</xdr:rowOff>
    </xdr:to>
    <xdr:graphicFrame macro="">
      <xdr:nvGraphicFramePr>
        <xdr:cNvPr id="1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1635725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98</xdr:row>
      <xdr:rowOff>104775</xdr:rowOff>
    </xdr:from>
    <xdr:to>
      <xdr:col>5</xdr:col>
      <xdr:colOff>1381125</xdr:colOff>
      <xdr:row>120</xdr:row>
      <xdr:rowOff>85725</xdr:rowOff>
    </xdr:to>
    <xdr:graphicFrame macro="">
      <xdr:nvGraphicFramePr>
        <xdr:cNvPr id="16357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122</xdr:row>
      <xdr:rowOff>123825</xdr:rowOff>
    </xdr:from>
    <xdr:to>
      <xdr:col>5</xdr:col>
      <xdr:colOff>1390650</xdr:colOff>
      <xdr:row>146</xdr:row>
      <xdr:rowOff>19050</xdr:rowOff>
    </xdr:to>
    <xdr:graphicFrame macro="">
      <xdr:nvGraphicFramePr>
        <xdr:cNvPr id="16357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5</xdr:col>
      <xdr:colOff>1447800</xdr:colOff>
      <xdr:row>79</xdr:row>
      <xdr:rowOff>0</xdr:rowOff>
    </xdr:to>
    <xdr:graphicFrame macro="">
      <xdr:nvGraphicFramePr>
        <xdr:cNvPr id="163572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9525</xdr:colOff>
      <xdr:row>79</xdr:row>
      <xdr:rowOff>0</xdr:rowOff>
    </xdr:to>
    <xdr:graphicFrame macro="">
      <xdr:nvGraphicFramePr>
        <xdr:cNvPr id="163572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0</xdr:colOff>
      <xdr:row>79</xdr:row>
      <xdr:rowOff>0</xdr:rowOff>
    </xdr:to>
    <xdr:graphicFrame macro="">
      <xdr:nvGraphicFramePr>
        <xdr:cNvPr id="1635730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19050</xdr:colOff>
      <xdr:row>79</xdr:row>
      <xdr:rowOff>0</xdr:rowOff>
    </xdr:to>
    <xdr:graphicFrame macro="">
      <xdr:nvGraphicFramePr>
        <xdr:cNvPr id="1635731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23</xdr:row>
      <xdr:rowOff>123825</xdr:rowOff>
    </xdr:from>
    <xdr:to>
      <xdr:col>5</xdr:col>
      <xdr:colOff>1438275</xdr:colOff>
      <xdr:row>43</xdr:row>
      <xdr:rowOff>133350</xdr:rowOff>
    </xdr:to>
    <xdr:graphicFrame macro="">
      <xdr:nvGraphicFramePr>
        <xdr:cNvPr id="1635732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53</xdr:row>
      <xdr:rowOff>0</xdr:rowOff>
    </xdr:from>
    <xdr:to>
      <xdr:col>5</xdr:col>
      <xdr:colOff>1352550</xdr:colOff>
      <xdr:row>78</xdr:row>
      <xdr:rowOff>66675</xdr:rowOff>
    </xdr:to>
    <xdr:graphicFrame macro="">
      <xdr:nvGraphicFramePr>
        <xdr:cNvPr id="1635733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1225191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98</xdr:row>
      <xdr:rowOff>104775</xdr:rowOff>
    </xdr:from>
    <xdr:to>
      <xdr:col>5</xdr:col>
      <xdr:colOff>1381125</xdr:colOff>
      <xdr:row>120</xdr:row>
      <xdr:rowOff>85725</xdr:rowOff>
    </xdr:to>
    <xdr:graphicFrame macro="">
      <xdr:nvGraphicFramePr>
        <xdr:cNvPr id="122519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122</xdr:row>
      <xdr:rowOff>123825</xdr:rowOff>
    </xdr:from>
    <xdr:to>
      <xdr:col>5</xdr:col>
      <xdr:colOff>1390650</xdr:colOff>
      <xdr:row>146</xdr:row>
      <xdr:rowOff>19050</xdr:rowOff>
    </xdr:to>
    <xdr:graphicFrame macro="">
      <xdr:nvGraphicFramePr>
        <xdr:cNvPr id="122519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5</xdr:col>
      <xdr:colOff>1447800</xdr:colOff>
      <xdr:row>79</xdr:row>
      <xdr:rowOff>0</xdr:rowOff>
    </xdr:to>
    <xdr:graphicFrame macro="">
      <xdr:nvGraphicFramePr>
        <xdr:cNvPr id="122519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9525</xdr:colOff>
      <xdr:row>79</xdr:row>
      <xdr:rowOff>0</xdr:rowOff>
    </xdr:to>
    <xdr:graphicFrame macro="">
      <xdr:nvGraphicFramePr>
        <xdr:cNvPr id="1225195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0</xdr:colOff>
      <xdr:row>79</xdr:row>
      <xdr:rowOff>0</xdr:rowOff>
    </xdr:to>
    <xdr:graphicFrame macro="">
      <xdr:nvGraphicFramePr>
        <xdr:cNvPr id="122519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19050</xdr:colOff>
      <xdr:row>79</xdr:row>
      <xdr:rowOff>0</xdr:rowOff>
    </xdr:to>
    <xdr:graphicFrame macro="">
      <xdr:nvGraphicFramePr>
        <xdr:cNvPr id="1225197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23</xdr:row>
      <xdr:rowOff>123825</xdr:rowOff>
    </xdr:from>
    <xdr:to>
      <xdr:col>5</xdr:col>
      <xdr:colOff>1438275</xdr:colOff>
      <xdr:row>43</xdr:row>
      <xdr:rowOff>133350</xdr:rowOff>
    </xdr:to>
    <xdr:graphicFrame macro="">
      <xdr:nvGraphicFramePr>
        <xdr:cNvPr id="1225198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53</xdr:row>
      <xdr:rowOff>0</xdr:rowOff>
    </xdr:from>
    <xdr:to>
      <xdr:col>5</xdr:col>
      <xdr:colOff>1352550</xdr:colOff>
      <xdr:row>78</xdr:row>
      <xdr:rowOff>66675</xdr:rowOff>
    </xdr:to>
    <xdr:graphicFrame macro="">
      <xdr:nvGraphicFramePr>
        <xdr:cNvPr id="1225199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28538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80</xdr:row>
      <xdr:rowOff>47625</xdr:rowOff>
    </xdr:from>
    <xdr:to>
      <xdr:col>5</xdr:col>
      <xdr:colOff>1419225</xdr:colOff>
      <xdr:row>101</xdr:row>
      <xdr:rowOff>28575</xdr:rowOff>
    </xdr:to>
    <xdr:graphicFrame macro="">
      <xdr:nvGraphicFramePr>
        <xdr:cNvPr id="2853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104</xdr:row>
      <xdr:rowOff>85725</xdr:rowOff>
    </xdr:from>
    <xdr:to>
      <xdr:col>5</xdr:col>
      <xdr:colOff>1419225</xdr:colOff>
      <xdr:row>129</xdr:row>
      <xdr:rowOff>0</xdr:rowOff>
    </xdr:to>
    <xdr:graphicFrame macro="">
      <xdr:nvGraphicFramePr>
        <xdr:cNvPr id="2854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5</xdr:col>
      <xdr:colOff>1447800</xdr:colOff>
      <xdr:row>79</xdr:row>
      <xdr:rowOff>0</xdr:rowOff>
    </xdr:to>
    <xdr:graphicFrame macro="">
      <xdr:nvGraphicFramePr>
        <xdr:cNvPr id="2854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9525</xdr:colOff>
      <xdr:row>79</xdr:row>
      <xdr:rowOff>0</xdr:rowOff>
    </xdr:to>
    <xdr:graphicFrame macro="">
      <xdr:nvGraphicFramePr>
        <xdr:cNvPr id="2854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0</xdr:colOff>
      <xdr:row>79</xdr:row>
      <xdr:rowOff>0</xdr:rowOff>
    </xdr:to>
    <xdr:graphicFrame macro="">
      <xdr:nvGraphicFramePr>
        <xdr:cNvPr id="28543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19050</xdr:colOff>
      <xdr:row>79</xdr:row>
      <xdr:rowOff>0</xdr:rowOff>
    </xdr:to>
    <xdr:graphicFrame macro="">
      <xdr:nvGraphicFramePr>
        <xdr:cNvPr id="2854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23</xdr:row>
      <xdr:rowOff>123825</xdr:rowOff>
    </xdr:from>
    <xdr:to>
      <xdr:col>5</xdr:col>
      <xdr:colOff>1438275</xdr:colOff>
      <xdr:row>43</xdr:row>
      <xdr:rowOff>133350</xdr:rowOff>
    </xdr:to>
    <xdr:graphicFrame macro="">
      <xdr:nvGraphicFramePr>
        <xdr:cNvPr id="28545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53</xdr:row>
      <xdr:rowOff>0</xdr:rowOff>
    </xdr:from>
    <xdr:to>
      <xdr:col>5</xdr:col>
      <xdr:colOff>1352550</xdr:colOff>
      <xdr:row>78</xdr:row>
      <xdr:rowOff>66675</xdr:rowOff>
    </xdr:to>
    <xdr:graphicFrame macro="">
      <xdr:nvGraphicFramePr>
        <xdr:cNvPr id="28546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59242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79</xdr:row>
      <xdr:rowOff>47625</xdr:rowOff>
    </xdr:from>
    <xdr:to>
      <xdr:col>5</xdr:col>
      <xdr:colOff>1419225</xdr:colOff>
      <xdr:row>100</xdr:row>
      <xdr:rowOff>28575</xdr:rowOff>
    </xdr:to>
    <xdr:graphicFrame macro="">
      <xdr:nvGraphicFramePr>
        <xdr:cNvPr id="5924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102</xdr:row>
      <xdr:rowOff>85725</xdr:rowOff>
    </xdr:from>
    <xdr:to>
      <xdr:col>5</xdr:col>
      <xdr:colOff>1419225</xdr:colOff>
      <xdr:row>127</xdr:row>
      <xdr:rowOff>0</xdr:rowOff>
    </xdr:to>
    <xdr:graphicFrame macro="">
      <xdr:nvGraphicFramePr>
        <xdr:cNvPr id="5924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5</xdr:col>
      <xdr:colOff>1447800</xdr:colOff>
      <xdr:row>78</xdr:row>
      <xdr:rowOff>0</xdr:rowOff>
    </xdr:to>
    <xdr:graphicFrame macro="">
      <xdr:nvGraphicFramePr>
        <xdr:cNvPr id="5924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6</xdr:col>
      <xdr:colOff>9525</xdr:colOff>
      <xdr:row>78</xdr:row>
      <xdr:rowOff>0</xdr:rowOff>
    </xdr:to>
    <xdr:graphicFrame macro="">
      <xdr:nvGraphicFramePr>
        <xdr:cNvPr id="5924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6</xdr:col>
      <xdr:colOff>0</xdr:colOff>
      <xdr:row>78</xdr:row>
      <xdr:rowOff>0</xdr:rowOff>
    </xdr:to>
    <xdr:graphicFrame macro="">
      <xdr:nvGraphicFramePr>
        <xdr:cNvPr id="5924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6</xdr:col>
      <xdr:colOff>19050</xdr:colOff>
      <xdr:row>78</xdr:row>
      <xdr:rowOff>0</xdr:rowOff>
    </xdr:to>
    <xdr:graphicFrame macro="">
      <xdr:nvGraphicFramePr>
        <xdr:cNvPr id="5924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23</xdr:row>
      <xdr:rowOff>114300</xdr:rowOff>
    </xdr:from>
    <xdr:to>
      <xdr:col>5</xdr:col>
      <xdr:colOff>1419225</xdr:colOff>
      <xdr:row>43</xdr:row>
      <xdr:rowOff>123825</xdr:rowOff>
    </xdr:to>
    <xdr:graphicFrame macro="">
      <xdr:nvGraphicFramePr>
        <xdr:cNvPr id="5924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52</xdr:row>
      <xdr:rowOff>0</xdr:rowOff>
    </xdr:from>
    <xdr:to>
      <xdr:col>5</xdr:col>
      <xdr:colOff>1352550</xdr:colOff>
      <xdr:row>77</xdr:row>
      <xdr:rowOff>66675</xdr:rowOff>
    </xdr:to>
    <xdr:graphicFrame macro="">
      <xdr:nvGraphicFramePr>
        <xdr:cNvPr id="5925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523875</xdr:colOff>
      <xdr:row>4</xdr:row>
      <xdr:rowOff>171450</xdr:rowOff>
    </xdr:to>
    <xdr:pic>
      <xdr:nvPicPr>
        <xdr:cNvPr id="264958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79</xdr:row>
      <xdr:rowOff>47625</xdr:rowOff>
    </xdr:from>
    <xdr:to>
      <xdr:col>5</xdr:col>
      <xdr:colOff>1419225</xdr:colOff>
      <xdr:row>100</xdr:row>
      <xdr:rowOff>28575</xdr:rowOff>
    </xdr:to>
    <xdr:graphicFrame macro="">
      <xdr:nvGraphicFramePr>
        <xdr:cNvPr id="2649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102</xdr:row>
      <xdr:rowOff>85725</xdr:rowOff>
    </xdr:from>
    <xdr:to>
      <xdr:col>5</xdr:col>
      <xdr:colOff>1419225</xdr:colOff>
      <xdr:row>127</xdr:row>
      <xdr:rowOff>0</xdr:rowOff>
    </xdr:to>
    <xdr:graphicFrame macro="">
      <xdr:nvGraphicFramePr>
        <xdr:cNvPr id="2649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5</xdr:col>
      <xdr:colOff>1447800</xdr:colOff>
      <xdr:row>78</xdr:row>
      <xdr:rowOff>0</xdr:rowOff>
    </xdr:to>
    <xdr:graphicFrame macro="">
      <xdr:nvGraphicFramePr>
        <xdr:cNvPr id="26496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6</xdr:col>
      <xdr:colOff>9525</xdr:colOff>
      <xdr:row>78</xdr:row>
      <xdr:rowOff>0</xdr:rowOff>
    </xdr:to>
    <xdr:graphicFrame macro="">
      <xdr:nvGraphicFramePr>
        <xdr:cNvPr id="26496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6</xdr:col>
      <xdr:colOff>0</xdr:colOff>
      <xdr:row>78</xdr:row>
      <xdr:rowOff>0</xdr:rowOff>
    </xdr:to>
    <xdr:graphicFrame macro="">
      <xdr:nvGraphicFramePr>
        <xdr:cNvPr id="264963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6</xdr:col>
      <xdr:colOff>19050</xdr:colOff>
      <xdr:row>78</xdr:row>
      <xdr:rowOff>0</xdr:rowOff>
    </xdr:to>
    <xdr:graphicFrame macro="">
      <xdr:nvGraphicFramePr>
        <xdr:cNvPr id="26496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23</xdr:row>
      <xdr:rowOff>114300</xdr:rowOff>
    </xdr:from>
    <xdr:to>
      <xdr:col>5</xdr:col>
      <xdr:colOff>1419225</xdr:colOff>
      <xdr:row>43</xdr:row>
      <xdr:rowOff>123825</xdr:rowOff>
    </xdr:to>
    <xdr:graphicFrame macro="">
      <xdr:nvGraphicFramePr>
        <xdr:cNvPr id="264965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52</xdr:row>
      <xdr:rowOff>0</xdr:rowOff>
    </xdr:from>
    <xdr:to>
      <xdr:col>5</xdr:col>
      <xdr:colOff>1352550</xdr:colOff>
      <xdr:row>77</xdr:row>
      <xdr:rowOff>66675</xdr:rowOff>
    </xdr:to>
    <xdr:graphicFrame macro="">
      <xdr:nvGraphicFramePr>
        <xdr:cNvPr id="264966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523875</xdr:colOff>
      <xdr:row>4</xdr:row>
      <xdr:rowOff>171450</xdr:rowOff>
    </xdr:to>
    <xdr:pic>
      <xdr:nvPicPr>
        <xdr:cNvPr id="397009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79</xdr:row>
      <xdr:rowOff>47625</xdr:rowOff>
    </xdr:from>
    <xdr:to>
      <xdr:col>5</xdr:col>
      <xdr:colOff>1419225</xdr:colOff>
      <xdr:row>100</xdr:row>
      <xdr:rowOff>28575</xdr:rowOff>
    </xdr:to>
    <xdr:graphicFrame macro="">
      <xdr:nvGraphicFramePr>
        <xdr:cNvPr id="39701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102</xdr:row>
      <xdr:rowOff>85725</xdr:rowOff>
    </xdr:from>
    <xdr:to>
      <xdr:col>5</xdr:col>
      <xdr:colOff>1419225</xdr:colOff>
      <xdr:row>127</xdr:row>
      <xdr:rowOff>0</xdr:rowOff>
    </xdr:to>
    <xdr:graphicFrame macro="">
      <xdr:nvGraphicFramePr>
        <xdr:cNvPr id="3970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5</xdr:col>
      <xdr:colOff>1447800</xdr:colOff>
      <xdr:row>78</xdr:row>
      <xdr:rowOff>0</xdr:rowOff>
    </xdr:to>
    <xdr:graphicFrame macro="">
      <xdr:nvGraphicFramePr>
        <xdr:cNvPr id="39701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6</xdr:col>
      <xdr:colOff>9525</xdr:colOff>
      <xdr:row>78</xdr:row>
      <xdr:rowOff>0</xdr:rowOff>
    </xdr:to>
    <xdr:graphicFrame macro="">
      <xdr:nvGraphicFramePr>
        <xdr:cNvPr id="39701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6</xdr:col>
      <xdr:colOff>0</xdr:colOff>
      <xdr:row>78</xdr:row>
      <xdr:rowOff>0</xdr:rowOff>
    </xdr:to>
    <xdr:graphicFrame macro="">
      <xdr:nvGraphicFramePr>
        <xdr:cNvPr id="3970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6</xdr:col>
      <xdr:colOff>19050</xdr:colOff>
      <xdr:row>78</xdr:row>
      <xdr:rowOff>0</xdr:rowOff>
    </xdr:to>
    <xdr:graphicFrame macro="">
      <xdr:nvGraphicFramePr>
        <xdr:cNvPr id="3970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23</xdr:row>
      <xdr:rowOff>114300</xdr:rowOff>
    </xdr:from>
    <xdr:to>
      <xdr:col>5</xdr:col>
      <xdr:colOff>1419225</xdr:colOff>
      <xdr:row>43</xdr:row>
      <xdr:rowOff>123825</xdr:rowOff>
    </xdr:to>
    <xdr:graphicFrame macro="">
      <xdr:nvGraphicFramePr>
        <xdr:cNvPr id="3970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52</xdr:row>
      <xdr:rowOff>0</xdr:rowOff>
    </xdr:from>
    <xdr:to>
      <xdr:col>5</xdr:col>
      <xdr:colOff>1352550</xdr:colOff>
      <xdr:row>77</xdr:row>
      <xdr:rowOff>66675</xdr:rowOff>
    </xdr:to>
    <xdr:graphicFrame macro="">
      <xdr:nvGraphicFramePr>
        <xdr:cNvPr id="3970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2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80</xdr:row>
      <xdr:rowOff>47625</xdr:rowOff>
    </xdr:from>
    <xdr:to>
      <xdr:col>5</xdr:col>
      <xdr:colOff>1419225</xdr:colOff>
      <xdr:row>101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47626</xdr:colOff>
      <xdr:row>103</xdr:row>
      <xdr:rowOff>85725</xdr:rowOff>
    </xdr:from>
    <xdr:to>
      <xdr:col>5</xdr:col>
      <xdr:colOff>1407585</xdr:colOff>
      <xdr:row>125</xdr:row>
      <xdr:rowOff>127000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5</xdr:col>
      <xdr:colOff>1447800</xdr:colOff>
      <xdr:row>79</xdr:row>
      <xdr:rowOff>0</xdr:rowOff>
    </xdr:to>
    <xdr:graphicFrame macro="">
      <xdr:nvGraphicFramePr>
        <xdr:cNvPr id="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9525</xdr:colOff>
      <xdr:row>79</xdr:row>
      <xdr:rowOff>0</xdr:rowOff>
    </xdr:to>
    <xdr:graphicFrame macro="">
      <xdr:nvGraphicFramePr>
        <xdr:cNvPr id="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0</xdr:colOff>
      <xdr:row>79</xdr:row>
      <xdr:rowOff>0</xdr:rowOff>
    </xdr:to>
    <xdr:graphicFrame macro="">
      <xdr:nvGraphicFramePr>
        <xdr:cNvPr id="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19050</xdr:colOff>
      <xdr:row>79</xdr:row>
      <xdr:rowOff>0</xdr:rowOff>
    </xdr:to>
    <xdr:graphicFrame macro="">
      <xdr:nvGraphicFramePr>
        <xdr:cNvPr id="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23</xdr:row>
      <xdr:rowOff>123825</xdr:rowOff>
    </xdr:from>
    <xdr:to>
      <xdr:col>5</xdr:col>
      <xdr:colOff>1438275</xdr:colOff>
      <xdr:row>43</xdr:row>
      <xdr:rowOff>133350</xdr:rowOff>
    </xdr:to>
    <xdr:graphicFrame macro="">
      <xdr:nvGraphicFramePr>
        <xdr:cNvPr id="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53</xdr:row>
      <xdr:rowOff>0</xdr:rowOff>
    </xdr:from>
    <xdr:to>
      <xdr:col>5</xdr:col>
      <xdr:colOff>1352550</xdr:colOff>
      <xdr:row>78</xdr:row>
      <xdr:rowOff>66675</xdr:rowOff>
    </xdr:to>
    <xdr:graphicFrame macro="">
      <xdr:nvGraphicFramePr>
        <xdr:cNvPr id="1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2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80</xdr:row>
      <xdr:rowOff>47625</xdr:rowOff>
    </xdr:from>
    <xdr:to>
      <xdr:col>5</xdr:col>
      <xdr:colOff>1419225</xdr:colOff>
      <xdr:row>101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47626</xdr:colOff>
      <xdr:row>103</xdr:row>
      <xdr:rowOff>85725</xdr:rowOff>
    </xdr:from>
    <xdr:to>
      <xdr:col>5</xdr:col>
      <xdr:colOff>1407585</xdr:colOff>
      <xdr:row>125</xdr:row>
      <xdr:rowOff>127000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5</xdr:col>
      <xdr:colOff>1447800</xdr:colOff>
      <xdr:row>79</xdr:row>
      <xdr:rowOff>0</xdr:rowOff>
    </xdr:to>
    <xdr:graphicFrame macro="">
      <xdr:nvGraphicFramePr>
        <xdr:cNvPr id="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9525</xdr:colOff>
      <xdr:row>79</xdr:row>
      <xdr:rowOff>0</xdr:rowOff>
    </xdr:to>
    <xdr:graphicFrame macro="">
      <xdr:nvGraphicFramePr>
        <xdr:cNvPr id="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0</xdr:colOff>
      <xdr:row>79</xdr:row>
      <xdr:rowOff>0</xdr:rowOff>
    </xdr:to>
    <xdr:graphicFrame macro="">
      <xdr:nvGraphicFramePr>
        <xdr:cNvPr id="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19050</xdr:colOff>
      <xdr:row>79</xdr:row>
      <xdr:rowOff>0</xdr:rowOff>
    </xdr:to>
    <xdr:graphicFrame macro="">
      <xdr:nvGraphicFramePr>
        <xdr:cNvPr id="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23</xdr:row>
      <xdr:rowOff>123825</xdr:rowOff>
    </xdr:from>
    <xdr:to>
      <xdr:col>5</xdr:col>
      <xdr:colOff>1438275</xdr:colOff>
      <xdr:row>43</xdr:row>
      <xdr:rowOff>133350</xdr:rowOff>
    </xdr:to>
    <xdr:graphicFrame macro="">
      <xdr:nvGraphicFramePr>
        <xdr:cNvPr id="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53</xdr:row>
      <xdr:rowOff>0</xdr:rowOff>
    </xdr:from>
    <xdr:to>
      <xdr:col>5</xdr:col>
      <xdr:colOff>1352550</xdr:colOff>
      <xdr:row>78</xdr:row>
      <xdr:rowOff>66675</xdr:rowOff>
    </xdr:to>
    <xdr:graphicFrame macro="">
      <xdr:nvGraphicFramePr>
        <xdr:cNvPr id="1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2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80</xdr:row>
      <xdr:rowOff>47625</xdr:rowOff>
    </xdr:from>
    <xdr:to>
      <xdr:col>5</xdr:col>
      <xdr:colOff>1419225</xdr:colOff>
      <xdr:row>101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47626</xdr:colOff>
      <xdr:row>103</xdr:row>
      <xdr:rowOff>85725</xdr:rowOff>
    </xdr:from>
    <xdr:to>
      <xdr:col>5</xdr:col>
      <xdr:colOff>1407585</xdr:colOff>
      <xdr:row>125</xdr:row>
      <xdr:rowOff>127000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5</xdr:col>
      <xdr:colOff>1447800</xdr:colOff>
      <xdr:row>79</xdr:row>
      <xdr:rowOff>0</xdr:rowOff>
    </xdr:to>
    <xdr:graphicFrame macro="">
      <xdr:nvGraphicFramePr>
        <xdr:cNvPr id="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9525</xdr:colOff>
      <xdr:row>79</xdr:row>
      <xdr:rowOff>0</xdr:rowOff>
    </xdr:to>
    <xdr:graphicFrame macro="">
      <xdr:nvGraphicFramePr>
        <xdr:cNvPr id="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0</xdr:colOff>
      <xdr:row>79</xdr:row>
      <xdr:rowOff>0</xdr:rowOff>
    </xdr:to>
    <xdr:graphicFrame macro="">
      <xdr:nvGraphicFramePr>
        <xdr:cNvPr id="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19050</xdr:colOff>
      <xdr:row>79</xdr:row>
      <xdr:rowOff>0</xdr:rowOff>
    </xdr:to>
    <xdr:graphicFrame macro="">
      <xdr:nvGraphicFramePr>
        <xdr:cNvPr id="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23</xdr:row>
      <xdr:rowOff>123825</xdr:rowOff>
    </xdr:from>
    <xdr:to>
      <xdr:col>5</xdr:col>
      <xdr:colOff>1438275</xdr:colOff>
      <xdr:row>43</xdr:row>
      <xdr:rowOff>133350</xdr:rowOff>
    </xdr:to>
    <xdr:graphicFrame macro="">
      <xdr:nvGraphicFramePr>
        <xdr:cNvPr id="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53</xdr:row>
      <xdr:rowOff>0</xdr:rowOff>
    </xdr:from>
    <xdr:to>
      <xdr:col>5</xdr:col>
      <xdr:colOff>1352550</xdr:colOff>
      <xdr:row>78</xdr:row>
      <xdr:rowOff>66675</xdr:rowOff>
    </xdr:to>
    <xdr:graphicFrame macro="">
      <xdr:nvGraphicFramePr>
        <xdr:cNvPr id="1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4302885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81</xdr:row>
      <xdr:rowOff>47625</xdr:rowOff>
    </xdr:from>
    <xdr:to>
      <xdr:col>5</xdr:col>
      <xdr:colOff>1419225</xdr:colOff>
      <xdr:row>102</xdr:row>
      <xdr:rowOff>28575</xdr:rowOff>
    </xdr:to>
    <xdr:graphicFrame macro="">
      <xdr:nvGraphicFramePr>
        <xdr:cNvPr id="430288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105</xdr:row>
      <xdr:rowOff>85725</xdr:rowOff>
    </xdr:from>
    <xdr:to>
      <xdr:col>5</xdr:col>
      <xdr:colOff>1419225</xdr:colOff>
      <xdr:row>130</xdr:row>
      <xdr:rowOff>0</xdr:rowOff>
    </xdr:to>
    <xdr:graphicFrame macro="">
      <xdr:nvGraphicFramePr>
        <xdr:cNvPr id="430288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5</xdr:col>
      <xdr:colOff>1447800</xdr:colOff>
      <xdr:row>80</xdr:row>
      <xdr:rowOff>0</xdr:rowOff>
    </xdr:to>
    <xdr:graphicFrame macro="">
      <xdr:nvGraphicFramePr>
        <xdr:cNvPr id="430288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6</xdr:col>
      <xdr:colOff>9525</xdr:colOff>
      <xdr:row>80</xdr:row>
      <xdr:rowOff>0</xdr:rowOff>
    </xdr:to>
    <xdr:graphicFrame macro="">
      <xdr:nvGraphicFramePr>
        <xdr:cNvPr id="430288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6</xdr:col>
      <xdr:colOff>0</xdr:colOff>
      <xdr:row>80</xdr:row>
      <xdr:rowOff>0</xdr:rowOff>
    </xdr:to>
    <xdr:graphicFrame macro="">
      <xdr:nvGraphicFramePr>
        <xdr:cNvPr id="4302890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6</xdr:col>
      <xdr:colOff>19050</xdr:colOff>
      <xdr:row>80</xdr:row>
      <xdr:rowOff>0</xdr:rowOff>
    </xdr:to>
    <xdr:graphicFrame macro="">
      <xdr:nvGraphicFramePr>
        <xdr:cNvPr id="4302891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23</xdr:row>
      <xdr:rowOff>123825</xdr:rowOff>
    </xdr:from>
    <xdr:to>
      <xdr:col>5</xdr:col>
      <xdr:colOff>1438275</xdr:colOff>
      <xdr:row>43</xdr:row>
      <xdr:rowOff>133350</xdr:rowOff>
    </xdr:to>
    <xdr:graphicFrame macro="">
      <xdr:nvGraphicFramePr>
        <xdr:cNvPr id="4302892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54</xdr:row>
      <xdr:rowOff>0</xdr:rowOff>
    </xdr:from>
    <xdr:to>
      <xdr:col>5</xdr:col>
      <xdr:colOff>1352550</xdr:colOff>
      <xdr:row>79</xdr:row>
      <xdr:rowOff>66675</xdr:rowOff>
    </xdr:to>
    <xdr:graphicFrame macro="">
      <xdr:nvGraphicFramePr>
        <xdr:cNvPr id="4302893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3728484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81</xdr:row>
      <xdr:rowOff>47625</xdr:rowOff>
    </xdr:from>
    <xdr:to>
      <xdr:col>5</xdr:col>
      <xdr:colOff>1419225</xdr:colOff>
      <xdr:row>102</xdr:row>
      <xdr:rowOff>28575</xdr:rowOff>
    </xdr:to>
    <xdr:graphicFrame macro="">
      <xdr:nvGraphicFramePr>
        <xdr:cNvPr id="372848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105</xdr:row>
      <xdr:rowOff>85725</xdr:rowOff>
    </xdr:from>
    <xdr:to>
      <xdr:col>5</xdr:col>
      <xdr:colOff>1419225</xdr:colOff>
      <xdr:row>130</xdr:row>
      <xdr:rowOff>0</xdr:rowOff>
    </xdr:to>
    <xdr:graphicFrame macro="">
      <xdr:nvGraphicFramePr>
        <xdr:cNvPr id="372848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5</xdr:col>
      <xdr:colOff>1447800</xdr:colOff>
      <xdr:row>80</xdr:row>
      <xdr:rowOff>0</xdr:rowOff>
    </xdr:to>
    <xdr:graphicFrame macro="">
      <xdr:nvGraphicFramePr>
        <xdr:cNvPr id="372848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6</xdr:col>
      <xdr:colOff>9525</xdr:colOff>
      <xdr:row>80</xdr:row>
      <xdr:rowOff>0</xdr:rowOff>
    </xdr:to>
    <xdr:graphicFrame macro="">
      <xdr:nvGraphicFramePr>
        <xdr:cNvPr id="372848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6</xdr:col>
      <xdr:colOff>0</xdr:colOff>
      <xdr:row>80</xdr:row>
      <xdr:rowOff>0</xdr:rowOff>
    </xdr:to>
    <xdr:graphicFrame macro="">
      <xdr:nvGraphicFramePr>
        <xdr:cNvPr id="372848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6</xdr:col>
      <xdr:colOff>19050</xdr:colOff>
      <xdr:row>80</xdr:row>
      <xdr:rowOff>0</xdr:rowOff>
    </xdr:to>
    <xdr:graphicFrame macro="">
      <xdr:nvGraphicFramePr>
        <xdr:cNvPr id="372849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23</xdr:row>
      <xdr:rowOff>123825</xdr:rowOff>
    </xdr:from>
    <xdr:to>
      <xdr:col>5</xdr:col>
      <xdr:colOff>1438275</xdr:colOff>
      <xdr:row>43</xdr:row>
      <xdr:rowOff>133350</xdr:rowOff>
    </xdr:to>
    <xdr:graphicFrame macro="">
      <xdr:nvGraphicFramePr>
        <xdr:cNvPr id="3728491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54</xdr:row>
      <xdr:rowOff>0</xdr:rowOff>
    </xdr:from>
    <xdr:to>
      <xdr:col>5</xdr:col>
      <xdr:colOff>1352550</xdr:colOff>
      <xdr:row>79</xdr:row>
      <xdr:rowOff>66675</xdr:rowOff>
    </xdr:to>
    <xdr:graphicFrame macro="">
      <xdr:nvGraphicFramePr>
        <xdr:cNvPr id="3728492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3063989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81</xdr:row>
      <xdr:rowOff>47625</xdr:rowOff>
    </xdr:from>
    <xdr:to>
      <xdr:col>5</xdr:col>
      <xdr:colOff>1419225</xdr:colOff>
      <xdr:row>102</xdr:row>
      <xdr:rowOff>28575</xdr:rowOff>
    </xdr:to>
    <xdr:graphicFrame macro="">
      <xdr:nvGraphicFramePr>
        <xdr:cNvPr id="30639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105</xdr:row>
      <xdr:rowOff>85725</xdr:rowOff>
    </xdr:from>
    <xdr:to>
      <xdr:col>5</xdr:col>
      <xdr:colOff>1419225</xdr:colOff>
      <xdr:row>130</xdr:row>
      <xdr:rowOff>0</xdr:rowOff>
    </xdr:to>
    <xdr:graphicFrame macro="">
      <xdr:nvGraphicFramePr>
        <xdr:cNvPr id="306399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5</xdr:col>
      <xdr:colOff>1447800</xdr:colOff>
      <xdr:row>80</xdr:row>
      <xdr:rowOff>0</xdr:rowOff>
    </xdr:to>
    <xdr:graphicFrame macro="">
      <xdr:nvGraphicFramePr>
        <xdr:cNvPr id="306399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6</xdr:col>
      <xdr:colOff>9525</xdr:colOff>
      <xdr:row>80</xdr:row>
      <xdr:rowOff>0</xdr:rowOff>
    </xdr:to>
    <xdr:graphicFrame macro="">
      <xdr:nvGraphicFramePr>
        <xdr:cNvPr id="306399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6</xdr:col>
      <xdr:colOff>0</xdr:colOff>
      <xdr:row>80</xdr:row>
      <xdr:rowOff>0</xdr:rowOff>
    </xdr:to>
    <xdr:graphicFrame macro="">
      <xdr:nvGraphicFramePr>
        <xdr:cNvPr id="306399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6</xdr:col>
      <xdr:colOff>19050</xdr:colOff>
      <xdr:row>80</xdr:row>
      <xdr:rowOff>0</xdr:rowOff>
    </xdr:to>
    <xdr:graphicFrame macro="">
      <xdr:nvGraphicFramePr>
        <xdr:cNvPr id="306399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23</xdr:row>
      <xdr:rowOff>123825</xdr:rowOff>
    </xdr:from>
    <xdr:to>
      <xdr:col>5</xdr:col>
      <xdr:colOff>1438275</xdr:colOff>
      <xdr:row>43</xdr:row>
      <xdr:rowOff>133350</xdr:rowOff>
    </xdr:to>
    <xdr:graphicFrame macro="">
      <xdr:nvGraphicFramePr>
        <xdr:cNvPr id="306399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54</xdr:row>
      <xdr:rowOff>0</xdr:rowOff>
    </xdr:from>
    <xdr:to>
      <xdr:col>5</xdr:col>
      <xdr:colOff>1352550</xdr:colOff>
      <xdr:row>79</xdr:row>
      <xdr:rowOff>66675</xdr:rowOff>
    </xdr:to>
    <xdr:graphicFrame macro="">
      <xdr:nvGraphicFramePr>
        <xdr:cNvPr id="306399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2211114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80</xdr:row>
      <xdr:rowOff>47625</xdr:rowOff>
    </xdr:from>
    <xdr:to>
      <xdr:col>5</xdr:col>
      <xdr:colOff>1419225</xdr:colOff>
      <xdr:row>101</xdr:row>
      <xdr:rowOff>28575</xdr:rowOff>
    </xdr:to>
    <xdr:graphicFrame macro="">
      <xdr:nvGraphicFramePr>
        <xdr:cNvPr id="221111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104</xdr:row>
      <xdr:rowOff>85725</xdr:rowOff>
    </xdr:from>
    <xdr:to>
      <xdr:col>5</xdr:col>
      <xdr:colOff>1419225</xdr:colOff>
      <xdr:row>129</xdr:row>
      <xdr:rowOff>0</xdr:rowOff>
    </xdr:to>
    <xdr:graphicFrame macro="">
      <xdr:nvGraphicFramePr>
        <xdr:cNvPr id="221111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5</xdr:col>
      <xdr:colOff>1447800</xdr:colOff>
      <xdr:row>79</xdr:row>
      <xdr:rowOff>0</xdr:rowOff>
    </xdr:to>
    <xdr:graphicFrame macro="">
      <xdr:nvGraphicFramePr>
        <xdr:cNvPr id="221111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9525</xdr:colOff>
      <xdr:row>79</xdr:row>
      <xdr:rowOff>0</xdr:rowOff>
    </xdr:to>
    <xdr:graphicFrame macro="">
      <xdr:nvGraphicFramePr>
        <xdr:cNvPr id="221111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0</xdr:colOff>
      <xdr:row>79</xdr:row>
      <xdr:rowOff>0</xdr:rowOff>
    </xdr:to>
    <xdr:graphicFrame macro="">
      <xdr:nvGraphicFramePr>
        <xdr:cNvPr id="221111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19050</xdr:colOff>
      <xdr:row>79</xdr:row>
      <xdr:rowOff>0</xdr:rowOff>
    </xdr:to>
    <xdr:graphicFrame macro="">
      <xdr:nvGraphicFramePr>
        <xdr:cNvPr id="221112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23</xdr:row>
      <xdr:rowOff>123825</xdr:rowOff>
    </xdr:from>
    <xdr:to>
      <xdr:col>5</xdr:col>
      <xdr:colOff>1438275</xdr:colOff>
      <xdr:row>43</xdr:row>
      <xdr:rowOff>133350</xdr:rowOff>
    </xdr:to>
    <xdr:graphicFrame macro="">
      <xdr:nvGraphicFramePr>
        <xdr:cNvPr id="2211121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53</xdr:row>
      <xdr:rowOff>0</xdr:rowOff>
    </xdr:from>
    <xdr:to>
      <xdr:col>5</xdr:col>
      <xdr:colOff>1352550</xdr:colOff>
      <xdr:row>78</xdr:row>
      <xdr:rowOff>66675</xdr:rowOff>
    </xdr:to>
    <xdr:graphicFrame macro="">
      <xdr:nvGraphicFramePr>
        <xdr:cNvPr id="2211122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561975</xdr:colOff>
      <xdr:row>4</xdr:row>
      <xdr:rowOff>171450</xdr:rowOff>
    </xdr:to>
    <xdr:pic>
      <xdr:nvPicPr>
        <xdr:cNvPr id="1980750" name="Picture 1" descr="cc_letter_logo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933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98</xdr:row>
      <xdr:rowOff>104775</xdr:rowOff>
    </xdr:from>
    <xdr:to>
      <xdr:col>5</xdr:col>
      <xdr:colOff>1381125</xdr:colOff>
      <xdr:row>120</xdr:row>
      <xdr:rowOff>85725</xdr:rowOff>
    </xdr:to>
    <xdr:graphicFrame macro="">
      <xdr:nvGraphicFramePr>
        <xdr:cNvPr id="198075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122</xdr:row>
      <xdr:rowOff>123825</xdr:rowOff>
    </xdr:from>
    <xdr:to>
      <xdr:col>5</xdr:col>
      <xdr:colOff>1390650</xdr:colOff>
      <xdr:row>146</xdr:row>
      <xdr:rowOff>19050</xdr:rowOff>
    </xdr:to>
    <xdr:graphicFrame macro="">
      <xdr:nvGraphicFramePr>
        <xdr:cNvPr id="198075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5</xdr:col>
      <xdr:colOff>1447800</xdr:colOff>
      <xdr:row>79</xdr:row>
      <xdr:rowOff>0</xdr:rowOff>
    </xdr:to>
    <xdr:graphicFrame macro="">
      <xdr:nvGraphicFramePr>
        <xdr:cNvPr id="198075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9525</xdr:colOff>
      <xdr:row>79</xdr:row>
      <xdr:rowOff>0</xdr:rowOff>
    </xdr:to>
    <xdr:graphicFrame macro="">
      <xdr:nvGraphicFramePr>
        <xdr:cNvPr id="198075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0</xdr:colOff>
      <xdr:row>79</xdr:row>
      <xdr:rowOff>0</xdr:rowOff>
    </xdr:to>
    <xdr:graphicFrame macro="">
      <xdr:nvGraphicFramePr>
        <xdr:cNvPr id="1980755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19050</xdr:colOff>
      <xdr:row>79</xdr:row>
      <xdr:rowOff>0</xdr:rowOff>
    </xdr:to>
    <xdr:graphicFrame macro="">
      <xdr:nvGraphicFramePr>
        <xdr:cNvPr id="1980756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23</xdr:row>
      <xdr:rowOff>123825</xdr:rowOff>
    </xdr:from>
    <xdr:to>
      <xdr:col>5</xdr:col>
      <xdr:colOff>1438275</xdr:colOff>
      <xdr:row>43</xdr:row>
      <xdr:rowOff>133350</xdr:rowOff>
    </xdr:to>
    <xdr:graphicFrame macro="">
      <xdr:nvGraphicFramePr>
        <xdr:cNvPr id="1980757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53</xdr:row>
      <xdr:rowOff>0</xdr:rowOff>
    </xdr:from>
    <xdr:to>
      <xdr:col>5</xdr:col>
      <xdr:colOff>1352550</xdr:colOff>
      <xdr:row>78</xdr:row>
      <xdr:rowOff>66675</xdr:rowOff>
    </xdr:to>
    <xdr:graphicFrame macro="">
      <xdr:nvGraphicFramePr>
        <xdr:cNvPr id="1980758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7"/>
  <sheetViews>
    <sheetView tabSelected="1" zoomScale="90" zoomScaleNormal="90" workbookViewId="0">
      <selection activeCell="G6" sqref="G6"/>
    </sheetView>
  </sheetViews>
  <sheetFormatPr defaultRowHeight="12.75"/>
  <cols>
    <col min="1" max="1" width="5.5" style="2" bestFit="1" customWidth="1"/>
    <col min="2" max="2" width="16.5" style="2" customWidth="1"/>
    <col min="3" max="3" width="16.625" style="2" customWidth="1"/>
    <col min="4" max="4" width="19.125" style="2" customWidth="1"/>
    <col min="5" max="5" width="8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5" style="2" customWidth="1"/>
    <col min="12" max="12" width="12.875" style="2" customWidth="1"/>
    <col min="13" max="13" width="11.75" style="2" customWidth="1"/>
    <col min="14" max="14" width="12.5" style="2" bestFit="1" customWidth="1"/>
    <col min="15" max="15" width="11.375" style="2" customWidth="1"/>
    <col min="16" max="17" width="11.5" style="2" customWidth="1"/>
    <col min="18" max="18" width="11.125" style="2" bestFit="1" customWidth="1"/>
    <col min="19" max="19" width="13.25" style="2" bestFit="1" customWidth="1"/>
    <col min="20" max="20" width="12.75" style="2" customWidth="1"/>
    <col min="21" max="21" width="12.5" style="2" bestFit="1" customWidth="1"/>
    <col min="22" max="22" width="11.25" style="2" customWidth="1"/>
    <col min="23" max="23" width="12.5" style="2" bestFit="1" customWidth="1"/>
    <col min="24" max="24" width="11.125" style="2" bestFit="1" customWidth="1"/>
    <col min="25" max="25" width="15.875" style="2" customWidth="1"/>
    <col min="26" max="26" width="12.5" style="2" customWidth="1"/>
    <col min="27" max="27" width="13.625" style="2" customWidth="1"/>
    <col min="28" max="28" width="11.875" style="2" customWidth="1"/>
    <col min="29" max="29" width="12.5" style="2" bestFit="1" customWidth="1"/>
    <col min="30" max="30" width="11.5" style="2" customWidth="1"/>
    <col min="31" max="31" width="13.75" style="2" customWidth="1"/>
    <col min="32" max="32" width="11.875" style="2" customWidth="1"/>
    <col min="33" max="33" width="14" style="2" customWidth="1"/>
    <col min="34" max="16384" width="9" style="2"/>
  </cols>
  <sheetData>
    <row r="1" spans="1:32" ht="15.95" customHeight="1">
      <c r="E1" s="3"/>
      <c r="F1" s="161" t="s">
        <v>17</v>
      </c>
    </row>
    <row r="2" spans="1:32" ht="15.95" customHeight="1">
      <c r="E2" s="3"/>
      <c r="F2" s="161" t="s">
        <v>36</v>
      </c>
    </row>
    <row r="3" spans="1:32" ht="15.95" customHeight="1">
      <c r="B3" s="175" t="s">
        <v>30</v>
      </c>
      <c r="C3" s="175"/>
      <c r="D3" s="175"/>
      <c r="E3" s="3"/>
      <c r="F3" s="161" t="s">
        <v>37</v>
      </c>
    </row>
    <row r="4" spans="1:32" ht="15.95" customHeight="1">
      <c r="E4" s="3"/>
      <c r="F4" s="161" t="s">
        <v>38</v>
      </c>
    </row>
    <row r="5" spans="1:32" ht="15.95" customHeight="1">
      <c r="E5" s="3"/>
      <c r="F5" s="161" t="s">
        <v>18</v>
      </c>
    </row>
    <row r="6" spans="1:32" ht="15.75">
      <c r="A6" s="4"/>
      <c r="B6" s="4"/>
      <c r="C6" s="4"/>
      <c r="D6" s="5"/>
      <c r="E6" s="5"/>
      <c r="F6" s="4"/>
    </row>
    <row r="7" spans="1:32" ht="15.75">
      <c r="A7" s="147"/>
      <c r="B7" s="147"/>
      <c r="C7" s="147"/>
      <c r="D7" s="148"/>
      <c r="E7" s="148"/>
      <c r="F7" s="147"/>
    </row>
    <row r="8" spans="1:32" ht="19.5" customHeight="1">
      <c r="A8" s="149" t="s">
        <v>195</v>
      </c>
      <c r="B8" s="147" t="s">
        <v>26</v>
      </c>
      <c r="C8" s="147"/>
      <c r="D8" s="147"/>
      <c r="E8" s="147"/>
      <c r="F8" s="147"/>
    </row>
    <row r="9" spans="1:32" ht="19.5" customHeight="1">
      <c r="A9" s="149" t="s">
        <v>196</v>
      </c>
      <c r="B9" s="147" t="s">
        <v>64</v>
      </c>
      <c r="C9" s="147"/>
      <c r="D9" s="147"/>
      <c r="E9" s="147"/>
      <c r="F9" s="147"/>
    </row>
    <row r="10" spans="1:32" ht="19.5" customHeight="1">
      <c r="A10" s="149" t="s">
        <v>197</v>
      </c>
      <c r="B10" s="150">
        <v>41554</v>
      </c>
      <c r="C10" s="147"/>
      <c r="D10" s="147"/>
      <c r="E10" s="147"/>
      <c r="F10" s="147"/>
    </row>
    <row r="11" spans="1:32" ht="19.5" customHeight="1">
      <c r="A11" s="149" t="s">
        <v>198</v>
      </c>
      <c r="B11" s="147" t="s">
        <v>212</v>
      </c>
      <c r="C11" s="147"/>
      <c r="D11" s="147"/>
      <c r="E11" s="147"/>
      <c r="F11" s="147"/>
    </row>
    <row r="12" spans="1:32" ht="19.5" customHeight="1">
      <c r="A12" s="149"/>
      <c r="B12" s="147"/>
      <c r="C12" s="147"/>
      <c r="D12" s="147"/>
      <c r="E12" s="147"/>
      <c r="F12" s="147"/>
    </row>
    <row r="13" spans="1:32" ht="6.75" customHeight="1">
      <c r="A13" s="176"/>
      <c r="B13" s="176"/>
      <c r="C13" s="176"/>
      <c r="D13" s="176"/>
      <c r="E13" s="176"/>
      <c r="F13" s="176"/>
    </row>
    <row r="14" spans="1:32" ht="19.5" customHeight="1">
      <c r="A14" s="174" t="s">
        <v>87</v>
      </c>
      <c r="B14" s="174"/>
      <c r="C14" s="174"/>
      <c r="D14" s="174"/>
      <c r="E14" s="174"/>
      <c r="F14" s="174"/>
    </row>
    <row r="15" spans="1:32" ht="4.5" customHeight="1">
      <c r="A15" s="147"/>
      <c r="B15" s="147"/>
      <c r="C15" s="147"/>
      <c r="D15" s="147"/>
      <c r="E15" s="147"/>
      <c r="F15" s="147"/>
      <c r="N15" s="64"/>
      <c r="O15" s="64"/>
      <c r="P15" s="64"/>
      <c r="Q15" s="64"/>
    </row>
    <row r="16" spans="1:32" ht="39">
      <c r="A16" s="177"/>
      <c r="B16" s="177"/>
      <c r="C16" s="145" t="s">
        <v>189</v>
      </c>
      <c r="D16" s="145" t="s">
        <v>213</v>
      </c>
      <c r="E16" s="145" t="s">
        <v>19</v>
      </c>
      <c r="F16" s="145" t="s">
        <v>214</v>
      </c>
      <c r="G16" s="10">
        <v>1</v>
      </c>
      <c r="H16" s="27"/>
      <c r="I16" s="10">
        <v>1</v>
      </c>
      <c r="K16" s="9" t="s">
        <v>189</v>
      </c>
      <c r="L16" s="9" t="s">
        <v>215</v>
      </c>
      <c r="M16" s="9">
        <v>2013</v>
      </c>
      <c r="N16" s="9" t="s">
        <v>152</v>
      </c>
      <c r="O16" s="9" t="s">
        <v>183</v>
      </c>
      <c r="P16" s="9">
        <v>2012</v>
      </c>
      <c r="Q16" s="9" t="s">
        <v>110</v>
      </c>
      <c r="R16" s="9" t="s">
        <v>184</v>
      </c>
      <c r="S16" s="9" t="s">
        <v>150</v>
      </c>
      <c r="T16" s="9">
        <v>2011</v>
      </c>
      <c r="U16" s="9" t="s">
        <v>65</v>
      </c>
      <c r="V16" s="9" t="s">
        <v>141</v>
      </c>
      <c r="W16" s="9" t="s">
        <v>149</v>
      </c>
      <c r="X16" s="9">
        <v>2010</v>
      </c>
      <c r="Y16" s="9" t="s">
        <v>1</v>
      </c>
      <c r="Z16" s="9" t="s">
        <v>142</v>
      </c>
      <c r="AA16" s="9" t="s">
        <v>76</v>
      </c>
      <c r="AB16" s="9">
        <v>2009</v>
      </c>
      <c r="AC16" s="9"/>
      <c r="AD16" s="9"/>
      <c r="AE16" s="9"/>
      <c r="AF16" s="9"/>
    </row>
    <row r="17" spans="1:32" ht="15.75" customHeight="1">
      <c r="A17" s="172" t="s">
        <v>20</v>
      </c>
      <c r="B17" s="172"/>
      <c r="C17" s="151">
        <f>K17</f>
        <v>2231084</v>
      </c>
      <c r="D17" s="151">
        <f>L17</f>
        <v>2253529</v>
      </c>
      <c r="E17" s="162">
        <f t="shared" ref="E17:E23" si="0">(D17/C17)</f>
        <v>1.0100601322047937</v>
      </c>
      <c r="F17" s="152">
        <f t="shared" ref="F17:F22" si="1">D17-G17</f>
        <v>22445</v>
      </c>
      <c r="G17" s="14">
        <f>C17*1</f>
        <v>2231084</v>
      </c>
      <c r="H17" s="27">
        <v>0</v>
      </c>
      <c r="I17" s="10">
        <v>1</v>
      </c>
      <c r="J17" s="21" t="str">
        <f t="shared" ref="J17:J22" si="2">A17</f>
        <v>Current / Delinquent Taxes</v>
      </c>
      <c r="K17" s="129">
        <v>2231084</v>
      </c>
      <c r="L17" s="129">
        <v>2253529</v>
      </c>
      <c r="M17" s="141">
        <f>L17/K17</f>
        <v>1.0100601322047937</v>
      </c>
      <c r="N17" s="129">
        <v>2160925</v>
      </c>
      <c r="O17" s="129">
        <v>2186788</v>
      </c>
      <c r="P17" s="141">
        <v>1.006615685412497</v>
      </c>
      <c r="Q17" s="129">
        <v>0</v>
      </c>
      <c r="R17" s="129">
        <v>0</v>
      </c>
      <c r="S17" s="11"/>
      <c r="T17" s="140">
        <v>0</v>
      </c>
      <c r="U17" s="11">
        <v>4337995</v>
      </c>
      <c r="V17" s="11">
        <v>4332761.68</v>
      </c>
      <c r="W17" s="11"/>
      <c r="X17" s="12">
        <v>0.99172160299435252</v>
      </c>
      <c r="Y17" s="11">
        <v>4070011</v>
      </c>
      <c r="Z17" s="11">
        <v>4089020.4200000004</v>
      </c>
      <c r="AA17" s="11"/>
      <c r="AB17" s="12">
        <v>0.98815243986499113</v>
      </c>
      <c r="AC17" s="11"/>
      <c r="AD17" s="11"/>
      <c r="AE17" s="11"/>
      <c r="AF17" s="12"/>
    </row>
    <row r="18" spans="1:32" ht="15.75" customHeight="1">
      <c r="A18" s="172" t="s">
        <v>66</v>
      </c>
      <c r="B18" s="172"/>
      <c r="C18" s="153">
        <f t="shared" ref="C18:D22" si="3">K18</f>
        <v>0</v>
      </c>
      <c r="D18" s="153">
        <f t="shared" si="3"/>
        <v>3780</v>
      </c>
      <c r="E18" s="162">
        <v>1</v>
      </c>
      <c r="F18" s="153">
        <f>D18-G18</f>
        <v>3780</v>
      </c>
      <c r="G18" s="14">
        <f t="shared" ref="G18:G23" si="4">C18*1</f>
        <v>0</v>
      </c>
      <c r="H18" s="27">
        <v>0</v>
      </c>
      <c r="I18" s="10">
        <v>1</v>
      </c>
      <c r="J18" s="21" t="str">
        <f t="shared" si="2"/>
        <v>License / Permits</v>
      </c>
      <c r="K18" s="129">
        <v>0</v>
      </c>
      <c r="L18" s="129">
        <v>3780</v>
      </c>
      <c r="M18" s="141">
        <v>1</v>
      </c>
      <c r="N18" s="129">
        <v>1300</v>
      </c>
      <c r="O18" s="129">
        <v>1377</v>
      </c>
      <c r="P18" s="141">
        <v>0.73384615384615381</v>
      </c>
      <c r="Q18" s="129">
        <v>2000</v>
      </c>
      <c r="R18" s="129">
        <v>1431</v>
      </c>
      <c r="S18" s="28"/>
      <c r="T18" s="141">
        <v>0.79245283018867929</v>
      </c>
      <c r="U18" s="16">
        <v>1854</v>
      </c>
      <c r="V18" s="28">
        <v>1620</v>
      </c>
      <c r="W18" s="28"/>
      <c r="X18" s="12">
        <v>0.71739130434782605</v>
      </c>
      <c r="Y18" s="28">
        <v>3000</v>
      </c>
      <c r="Z18" s="28">
        <v>1476</v>
      </c>
      <c r="AA18" s="28"/>
      <c r="AB18" s="12">
        <v>0.80487804878048785</v>
      </c>
      <c r="AC18" s="28"/>
      <c r="AD18" s="28"/>
      <c r="AE18" s="28"/>
      <c r="AF18" s="12"/>
    </row>
    <row r="19" spans="1:32" ht="24.75" customHeight="1">
      <c r="A19" s="172" t="s">
        <v>2</v>
      </c>
      <c r="B19" s="172"/>
      <c r="C19" s="153">
        <f t="shared" si="3"/>
        <v>15007621</v>
      </c>
      <c r="D19" s="153">
        <f t="shared" si="3"/>
        <v>15594271</v>
      </c>
      <c r="E19" s="162">
        <f t="shared" si="0"/>
        <v>1.0390901396030723</v>
      </c>
      <c r="F19" s="153">
        <f t="shared" si="1"/>
        <v>586650</v>
      </c>
      <c r="G19" s="14">
        <f t="shared" si="4"/>
        <v>15007621</v>
      </c>
      <c r="H19" s="27">
        <v>0</v>
      </c>
      <c r="I19" s="10">
        <v>1</v>
      </c>
      <c r="J19" s="21" t="str">
        <f t="shared" si="2"/>
        <v>Fees/Charges for Services</v>
      </c>
      <c r="K19" s="129">
        <v>15007621</v>
      </c>
      <c r="L19" s="129">
        <f>183777+15410494</f>
        <v>15594271</v>
      </c>
      <c r="M19" s="141">
        <f t="shared" ref="M19:M23" si="5">L19/K19</f>
        <v>1.0390901396030723</v>
      </c>
      <c r="N19" s="129">
        <v>13214500</v>
      </c>
      <c r="O19" s="129">
        <v>14061084</v>
      </c>
      <c r="P19" s="141">
        <v>0.89236157251504034</v>
      </c>
      <c r="Q19" s="129">
        <v>13169000</v>
      </c>
      <c r="R19" s="129">
        <v>13131612</v>
      </c>
      <c r="S19" s="28"/>
      <c r="T19" s="141">
        <v>0.83252497865456276</v>
      </c>
      <c r="U19" s="16">
        <v>12094490</v>
      </c>
      <c r="V19" s="28">
        <v>12058465.6</v>
      </c>
      <c r="W19" s="28"/>
      <c r="X19" s="12">
        <v>0.82839814356337671</v>
      </c>
      <c r="Y19" s="28">
        <v>11806400</v>
      </c>
      <c r="Z19" s="28">
        <v>13174508.390000002</v>
      </c>
      <c r="AA19" s="28"/>
      <c r="AB19" s="12">
        <v>0.67534116774376485</v>
      </c>
      <c r="AC19" s="28"/>
      <c r="AD19" s="28"/>
      <c r="AE19" s="28"/>
      <c r="AF19" s="12"/>
    </row>
    <row r="20" spans="1:32" ht="15.75" customHeight="1">
      <c r="A20" s="172" t="s">
        <v>4</v>
      </c>
      <c r="B20" s="172"/>
      <c r="C20" s="153">
        <f t="shared" si="3"/>
        <v>1707212</v>
      </c>
      <c r="D20" s="153">
        <f t="shared" si="3"/>
        <v>1953529</v>
      </c>
      <c r="E20" s="162">
        <f t="shared" si="0"/>
        <v>1.1442802651340314</v>
      </c>
      <c r="F20" s="153">
        <f t="shared" si="1"/>
        <v>246317</v>
      </c>
      <c r="G20" s="14">
        <f t="shared" si="4"/>
        <v>1707212</v>
      </c>
      <c r="H20" s="27">
        <v>0</v>
      </c>
      <c r="I20" s="10">
        <v>1</v>
      </c>
      <c r="J20" s="21" t="str">
        <f t="shared" si="2"/>
        <v>Fines</v>
      </c>
      <c r="K20" s="129">
        <v>1707212</v>
      </c>
      <c r="L20" s="129">
        <v>1953529</v>
      </c>
      <c r="M20" s="141">
        <f t="shared" si="5"/>
        <v>1.1442802651340314</v>
      </c>
      <c r="N20" s="129">
        <v>1741500</v>
      </c>
      <c r="O20" s="129">
        <v>1812981</v>
      </c>
      <c r="P20" s="141">
        <v>0.79255239735859895</v>
      </c>
      <c r="Q20" s="129">
        <v>2066000</v>
      </c>
      <c r="R20" s="129">
        <v>1819075</v>
      </c>
      <c r="S20" s="28"/>
      <c r="T20" s="141">
        <v>0.68792545661943572</v>
      </c>
      <c r="U20" s="16">
        <v>2295355</v>
      </c>
      <c r="V20" s="28">
        <v>2013491.08</v>
      </c>
      <c r="W20" s="28"/>
      <c r="X20" s="12">
        <v>0.76837266809630345</v>
      </c>
      <c r="Y20" s="28">
        <v>1904500</v>
      </c>
      <c r="Z20" s="28">
        <v>2190630.58</v>
      </c>
      <c r="AA20" s="28"/>
      <c r="AB20" s="12">
        <v>0.73079946077577229</v>
      </c>
      <c r="AC20" s="28"/>
      <c r="AD20" s="28"/>
      <c r="AE20" s="28"/>
      <c r="AF20" s="12"/>
    </row>
    <row r="21" spans="1:32" ht="15.75" customHeight="1">
      <c r="A21" s="172" t="s">
        <v>3</v>
      </c>
      <c r="B21" s="172"/>
      <c r="C21" s="153">
        <f t="shared" si="3"/>
        <v>140000</v>
      </c>
      <c r="D21" s="153">
        <f t="shared" si="3"/>
        <v>84258</v>
      </c>
      <c r="E21" s="162">
        <f t="shared" si="0"/>
        <v>0.60184285714285712</v>
      </c>
      <c r="F21" s="153">
        <f t="shared" si="1"/>
        <v>-55742</v>
      </c>
      <c r="G21" s="14">
        <f t="shared" si="4"/>
        <v>140000</v>
      </c>
      <c r="H21" s="27">
        <f t="shared" ref="H17:H22" si="6">C21-D21</f>
        <v>55742</v>
      </c>
      <c r="I21" s="10">
        <v>1</v>
      </c>
      <c r="J21" s="21" t="str">
        <f t="shared" si="2"/>
        <v>Investment Revenue</v>
      </c>
      <c r="K21" s="129">
        <v>140000</v>
      </c>
      <c r="L21" s="129">
        <v>84258</v>
      </c>
      <c r="M21" s="141">
        <f t="shared" si="5"/>
        <v>0.60184285714285712</v>
      </c>
      <c r="N21" s="129">
        <v>180000</v>
      </c>
      <c r="O21" s="129">
        <v>123399</v>
      </c>
      <c r="P21" s="141">
        <v>0.53603888888888884</v>
      </c>
      <c r="Q21" s="129">
        <v>120000</v>
      </c>
      <c r="R21" s="129">
        <v>187042</v>
      </c>
      <c r="S21" s="28"/>
      <c r="T21" s="141">
        <v>0.74721616169932492</v>
      </c>
      <c r="U21" s="16">
        <v>280881</v>
      </c>
      <c r="V21" s="28">
        <v>204373.62</v>
      </c>
      <c r="W21" s="28"/>
      <c r="X21" s="12">
        <v>0.67518010730944489</v>
      </c>
      <c r="Y21" s="28">
        <v>305000</v>
      </c>
      <c r="Z21" s="28">
        <v>275539.69999999995</v>
      </c>
      <c r="AA21" s="28"/>
      <c r="AB21" s="12">
        <v>0.74281194336499401</v>
      </c>
      <c r="AC21" s="28"/>
      <c r="AD21" s="28"/>
      <c r="AE21" s="28"/>
      <c r="AF21" s="12"/>
    </row>
    <row r="22" spans="1:32" ht="15.75" customHeight="1" thickBot="1">
      <c r="A22" s="172" t="s">
        <v>203</v>
      </c>
      <c r="B22" s="172"/>
      <c r="C22" s="153">
        <f t="shared" si="3"/>
        <v>5000</v>
      </c>
      <c r="D22" s="153">
        <f t="shared" si="3"/>
        <v>231809</v>
      </c>
      <c r="E22" s="162">
        <f t="shared" si="0"/>
        <v>46.361800000000002</v>
      </c>
      <c r="F22" s="153">
        <f t="shared" si="1"/>
        <v>226809</v>
      </c>
      <c r="G22" s="14">
        <f t="shared" si="4"/>
        <v>5000</v>
      </c>
      <c r="H22" s="27">
        <v>0</v>
      </c>
      <c r="I22" s="10">
        <v>1</v>
      </c>
      <c r="J22" s="21" t="str">
        <f t="shared" si="2"/>
        <v>Misc./Proceeds F/A Disp</v>
      </c>
      <c r="K22" s="130">
        <v>5000</v>
      </c>
      <c r="L22" s="130">
        <f>16152+159381+56276</f>
        <v>231809</v>
      </c>
      <c r="M22" s="142">
        <f t="shared" si="5"/>
        <v>46.361800000000002</v>
      </c>
      <c r="N22" s="130">
        <v>15000</v>
      </c>
      <c r="O22" s="130">
        <v>193485</v>
      </c>
      <c r="P22" s="142">
        <v>12.112533333333333</v>
      </c>
      <c r="Q22" s="130">
        <v>25000</v>
      </c>
      <c r="R22" s="130">
        <v>58307</v>
      </c>
      <c r="S22" s="53"/>
      <c r="T22" s="142">
        <v>0.10959796926454446</v>
      </c>
      <c r="U22" s="52">
        <v>25400</v>
      </c>
      <c r="V22" s="53">
        <v>279774.43</v>
      </c>
      <c r="W22" s="53"/>
      <c r="X22" s="77">
        <v>0.82110556446072813</v>
      </c>
      <c r="Y22" s="53">
        <v>117000</v>
      </c>
      <c r="Z22" s="53">
        <v>65838.149999999994</v>
      </c>
      <c r="AA22" s="53"/>
      <c r="AB22" s="77">
        <v>0.51244504713370209</v>
      </c>
      <c r="AC22" s="53"/>
      <c r="AD22" s="53"/>
      <c r="AE22" s="53"/>
      <c r="AF22" s="77"/>
    </row>
    <row r="23" spans="1:32" ht="15.75" customHeight="1" thickBot="1">
      <c r="A23" s="173" t="s">
        <v>22</v>
      </c>
      <c r="B23" s="173"/>
      <c r="C23" s="151">
        <f>SUM(C17:C22)</f>
        <v>19090917</v>
      </c>
      <c r="D23" s="151">
        <f>SUM(D17:D22)</f>
        <v>20121176</v>
      </c>
      <c r="E23" s="162">
        <f t="shared" si="0"/>
        <v>1.0539659252617357</v>
      </c>
      <c r="F23" s="154">
        <f>SUM(F17:F22)</f>
        <v>1030259</v>
      </c>
      <c r="G23" s="14">
        <f t="shared" si="4"/>
        <v>19090917</v>
      </c>
      <c r="H23" s="27"/>
      <c r="I23" s="10"/>
      <c r="J23" s="21"/>
      <c r="K23" s="128">
        <f>SUM(K17:K22)</f>
        <v>19090917</v>
      </c>
      <c r="L23" s="51">
        <f>SUM(L17:L22)</f>
        <v>20121176</v>
      </c>
      <c r="M23" s="143">
        <f t="shared" si="5"/>
        <v>1.0539659252617357</v>
      </c>
      <c r="N23" s="128">
        <v>17313225</v>
      </c>
      <c r="O23" s="51">
        <f>SUM(O17:O22)</f>
        <v>18379114</v>
      </c>
      <c r="P23" s="143">
        <v>0.90258701079665982</v>
      </c>
      <c r="Q23" s="128">
        <v>15382000</v>
      </c>
      <c r="R23" s="51">
        <f>SUM(R17:R22)</f>
        <v>15197467</v>
      </c>
      <c r="S23" s="51"/>
      <c r="T23" s="143">
        <v>0.81135904958171645</v>
      </c>
      <c r="U23" s="51">
        <v>19035975</v>
      </c>
      <c r="V23" s="51">
        <f>SUM(V17:V22)</f>
        <v>18890486.41</v>
      </c>
      <c r="W23" s="51"/>
      <c r="X23" s="78">
        <v>0.85761850694289077</v>
      </c>
      <c r="Y23" s="51">
        <v>18205911</v>
      </c>
      <c r="Z23" s="51">
        <f>SUM(Z17:Z22)</f>
        <v>19797013.239999998</v>
      </c>
      <c r="AA23" s="51"/>
      <c r="AB23" s="78">
        <v>0.74632941747878545</v>
      </c>
      <c r="AC23" s="51"/>
      <c r="AD23" s="51"/>
      <c r="AE23" s="51"/>
      <c r="AF23" s="78"/>
    </row>
    <row r="24" spans="1:32" ht="22.5" customHeight="1" thickTop="1">
      <c r="A24" s="147"/>
      <c r="B24" s="147"/>
      <c r="C24" s="147"/>
      <c r="D24" s="147"/>
      <c r="E24" s="147"/>
      <c r="F24" s="147"/>
      <c r="J24" s="21"/>
      <c r="K24" s="21"/>
      <c r="L24" s="21"/>
      <c r="M24" s="21"/>
      <c r="N24" s="26"/>
    </row>
    <row r="25" spans="1:32" ht="15.75">
      <c r="A25" s="147"/>
      <c r="B25" s="147"/>
      <c r="C25" s="147"/>
      <c r="D25" s="147"/>
      <c r="E25" s="147"/>
      <c r="F25" s="147"/>
      <c r="J25" s="21"/>
      <c r="K25" s="21"/>
      <c r="L25" s="21"/>
      <c r="M25" s="21"/>
      <c r="N25" s="26"/>
      <c r="O25" s="15"/>
    </row>
    <row r="26" spans="1:32" ht="15.75">
      <c r="A26" s="147"/>
      <c r="B26" s="147"/>
      <c r="C26" s="147"/>
      <c r="D26" s="147"/>
      <c r="E26" s="147"/>
      <c r="F26" s="147"/>
    </row>
    <row r="27" spans="1:32" ht="15.75">
      <c r="A27" s="147"/>
      <c r="B27" s="147"/>
      <c r="C27" s="147"/>
      <c r="D27" s="147"/>
      <c r="E27" s="147"/>
      <c r="F27" s="147"/>
    </row>
    <row r="28" spans="1:32" ht="15.75">
      <c r="A28" s="147"/>
      <c r="B28" s="147"/>
      <c r="C28" s="147"/>
      <c r="D28" s="147"/>
      <c r="E28" s="147"/>
      <c r="F28" s="147"/>
    </row>
    <row r="29" spans="1:32" ht="15.75">
      <c r="A29" s="147"/>
      <c r="B29" s="147"/>
      <c r="C29" s="147"/>
      <c r="D29" s="147"/>
      <c r="E29" s="147"/>
      <c r="F29" s="147"/>
    </row>
    <row r="30" spans="1:32" ht="15.75">
      <c r="A30" s="147"/>
      <c r="B30" s="147"/>
      <c r="C30" s="147"/>
      <c r="D30" s="147"/>
      <c r="E30" s="147"/>
      <c r="F30" s="147"/>
    </row>
    <row r="31" spans="1:32" ht="15.75">
      <c r="A31" s="147"/>
      <c r="B31" s="147"/>
      <c r="C31" s="147"/>
      <c r="D31" s="147"/>
      <c r="E31" s="147"/>
      <c r="F31" s="147"/>
    </row>
    <row r="32" spans="1:32" ht="15.75">
      <c r="A32" s="147"/>
      <c r="B32" s="147"/>
      <c r="C32" s="147"/>
      <c r="D32" s="147"/>
      <c r="E32" s="147"/>
      <c r="F32" s="147"/>
    </row>
    <row r="33" spans="1:37" ht="15.75">
      <c r="A33" s="147"/>
      <c r="B33" s="147"/>
      <c r="C33" s="147"/>
      <c r="D33" s="147"/>
      <c r="E33" s="147"/>
      <c r="F33" s="147"/>
    </row>
    <row r="34" spans="1:37" ht="15.75">
      <c r="A34" s="147"/>
      <c r="B34" s="147"/>
      <c r="C34" s="147"/>
      <c r="D34" s="147"/>
      <c r="E34" s="147"/>
      <c r="F34" s="147"/>
    </row>
    <row r="35" spans="1:37" ht="15.75">
      <c r="A35" s="147"/>
      <c r="B35" s="147"/>
      <c r="C35" s="147"/>
      <c r="D35" s="147"/>
      <c r="E35" s="147"/>
      <c r="F35" s="147"/>
    </row>
    <row r="36" spans="1:37" ht="15.75">
      <c r="A36" s="147"/>
      <c r="B36" s="147"/>
      <c r="C36" s="147"/>
      <c r="D36" s="147"/>
      <c r="E36" s="147"/>
      <c r="F36" s="147"/>
    </row>
    <row r="37" spans="1:37" ht="15.75">
      <c r="A37" s="147"/>
      <c r="B37" s="147"/>
      <c r="C37" s="147"/>
      <c r="D37" s="147"/>
      <c r="E37" s="147"/>
      <c r="F37" s="147"/>
    </row>
    <row r="38" spans="1:37" ht="15.75">
      <c r="A38" s="147"/>
      <c r="B38" s="147"/>
      <c r="C38" s="147"/>
      <c r="D38" s="147"/>
      <c r="E38" s="147"/>
      <c r="F38" s="147"/>
    </row>
    <row r="39" spans="1:37" ht="15.75">
      <c r="A39" s="147"/>
      <c r="B39" s="147"/>
      <c r="C39" s="147"/>
      <c r="D39" s="147"/>
      <c r="E39" s="147"/>
      <c r="F39" s="147"/>
      <c r="J39" s="65"/>
      <c r="K39" s="65"/>
      <c r="L39" s="65"/>
      <c r="M39" s="65"/>
      <c r="N39" s="65"/>
    </row>
    <row r="40" spans="1:37" ht="15.75">
      <c r="A40" s="147"/>
      <c r="B40" s="147"/>
      <c r="C40" s="147"/>
      <c r="D40" s="147"/>
      <c r="E40" s="147"/>
      <c r="F40" s="147"/>
      <c r="J40" s="65"/>
      <c r="K40" s="65"/>
      <c r="L40" s="65"/>
      <c r="M40" s="65"/>
      <c r="N40" s="65"/>
    </row>
    <row r="41" spans="1:37" ht="15.75">
      <c r="A41" s="147"/>
      <c r="B41" s="147"/>
      <c r="C41" s="147"/>
      <c r="D41" s="147"/>
      <c r="E41" s="147"/>
      <c r="F41" s="147"/>
      <c r="J41" s="65"/>
      <c r="K41" s="65"/>
      <c r="L41" s="65"/>
      <c r="M41" s="65"/>
      <c r="N41" s="65"/>
    </row>
    <row r="42" spans="1:37" ht="15.75">
      <c r="A42" s="147"/>
      <c r="B42" s="147"/>
      <c r="C42" s="147"/>
      <c r="D42" s="147"/>
      <c r="E42" s="147"/>
      <c r="F42" s="147"/>
      <c r="J42" s="65"/>
      <c r="K42" s="65"/>
      <c r="L42" s="65"/>
      <c r="M42" s="65"/>
      <c r="N42" s="65"/>
    </row>
    <row r="43" spans="1:37" ht="15.75">
      <c r="A43" s="147"/>
      <c r="B43" s="147"/>
      <c r="C43" s="147"/>
      <c r="D43" s="147"/>
      <c r="E43" s="147"/>
      <c r="F43" s="147"/>
      <c r="J43" s="65"/>
      <c r="K43" s="65"/>
      <c r="L43" s="65"/>
      <c r="M43" s="65"/>
      <c r="N43" s="65"/>
    </row>
    <row r="44" spans="1:37" ht="15.75">
      <c r="A44" s="147"/>
      <c r="B44" s="147"/>
      <c r="C44" s="147"/>
      <c r="D44" s="147"/>
      <c r="E44" s="147"/>
      <c r="F44" s="147"/>
      <c r="J44" s="65"/>
      <c r="K44" s="65"/>
      <c r="L44" s="65"/>
      <c r="M44" s="65"/>
      <c r="N44" s="65"/>
    </row>
    <row r="45" spans="1:37" ht="33" customHeight="1">
      <c r="A45" s="174" t="s">
        <v>88</v>
      </c>
      <c r="B45" s="174"/>
      <c r="C45" s="174"/>
      <c r="D45" s="174"/>
      <c r="E45" s="174"/>
      <c r="F45" s="174"/>
      <c r="J45" s="65"/>
      <c r="K45" s="65"/>
      <c r="L45" s="65"/>
      <c r="M45" s="65"/>
      <c r="N45" s="65"/>
    </row>
    <row r="46" spans="1:37" ht="12" customHeight="1">
      <c r="A46" s="147"/>
      <c r="B46" s="146"/>
      <c r="C46" s="146"/>
      <c r="D46" s="146"/>
      <c r="E46" s="146"/>
      <c r="F46" s="147"/>
      <c r="J46" s="65"/>
      <c r="K46" s="65"/>
      <c r="L46" s="65"/>
      <c r="M46" s="65"/>
      <c r="N46" s="65"/>
    </row>
    <row r="47" spans="1:37" ht="36" customHeight="1">
      <c r="A47" s="167"/>
      <c r="B47" s="167"/>
      <c r="C47" s="166" t="s">
        <v>189</v>
      </c>
      <c r="D47" s="145" t="s">
        <v>216</v>
      </c>
      <c r="E47" s="166" t="s">
        <v>19</v>
      </c>
      <c r="F47" s="145" t="s">
        <v>214</v>
      </c>
      <c r="G47" s="10">
        <v>1</v>
      </c>
      <c r="H47" s="2" t="s">
        <v>32</v>
      </c>
      <c r="K47" s="79" t="s">
        <v>189</v>
      </c>
      <c r="L47" s="75" t="s">
        <v>217</v>
      </c>
      <c r="M47" s="76">
        <v>2013</v>
      </c>
      <c r="N47" s="79" t="s">
        <v>154</v>
      </c>
      <c r="O47" s="75" t="s">
        <v>185</v>
      </c>
      <c r="P47" s="76">
        <v>2012</v>
      </c>
      <c r="Q47" s="75" t="s">
        <v>156</v>
      </c>
      <c r="R47" s="79" t="s">
        <v>113</v>
      </c>
      <c r="S47" s="75" t="s">
        <v>186</v>
      </c>
      <c r="T47" s="76">
        <v>2011</v>
      </c>
      <c r="U47" s="75" t="s">
        <v>115</v>
      </c>
      <c r="V47" s="79" t="s">
        <v>65</v>
      </c>
      <c r="W47" s="75" t="s">
        <v>145</v>
      </c>
      <c r="X47" s="76">
        <v>2010</v>
      </c>
      <c r="Y47" s="75" t="s">
        <v>79</v>
      </c>
      <c r="Z47" s="75" t="s">
        <v>1</v>
      </c>
      <c r="AA47" s="75" t="s">
        <v>146</v>
      </c>
      <c r="AB47" s="76">
        <v>2009</v>
      </c>
      <c r="AC47" s="75" t="s">
        <v>81</v>
      </c>
      <c r="AD47" s="75">
        <v>2009</v>
      </c>
      <c r="AE47" s="75" t="s">
        <v>82</v>
      </c>
      <c r="AF47" s="75"/>
      <c r="AG47" s="75"/>
      <c r="AH47" s="76"/>
      <c r="AI47" s="75"/>
      <c r="AJ47" s="75"/>
      <c r="AK47" s="75"/>
    </row>
    <row r="48" spans="1:37" ht="15.75" customHeight="1">
      <c r="A48" s="168" t="s">
        <v>23</v>
      </c>
      <c r="B48" s="169"/>
      <c r="C48" s="151">
        <f t="shared" ref="C48:D50" si="7">K48</f>
        <v>44035</v>
      </c>
      <c r="D48" s="151">
        <f t="shared" si="7"/>
        <v>53473</v>
      </c>
      <c r="E48" s="162">
        <f>(D48/C48)</f>
        <v>1.214329510616555</v>
      </c>
      <c r="F48" s="153">
        <f>+G48-D48</f>
        <v>-9438</v>
      </c>
      <c r="G48" s="23">
        <f>C48*1</f>
        <v>44035</v>
      </c>
      <c r="H48" s="25">
        <v>0</v>
      </c>
      <c r="I48" s="1">
        <v>1</v>
      </c>
      <c r="J48" s="65" t="str">
        <f>A48</f>
        <v>Conservation</v>
      </c>
      <c r="K48" s="129">
        <v>44035</v>
      </c>
      <c r="L48" s="129">
        <v>53473</v>
      </c>
      <c r="M48" s="131">
        <f>L48/K48</f>
        <v>1.214329510616555</v>
      </c>
      <c r="N48" s="129">
        <v>44035</v>
      </c>
      <c r="O48" s="129">
        <v>0</v>
      </c>
      <c r="P48" s="131">
        <v>0</v>
      </c>
      <c r="Q48" s="13"/>
      <c r="R48" s="129">
        <v>44035</v>
      </c>
      <c r="S48" s="129">
        <v>16941</v>
      </c>
      <c r="T48" s="131">
        <v>0</v>
      </c>
      <c r="U48" s="13"/>
      <c r="V48" s="13">
        <v>44035</v>
      </c>
      <c r="W48" s="13">
        <v>8747.1</v>
      </c>
      <c r="X48" s="80">
        <v>4.0498694220506413E-2</v>
      </c>
      <c r="Y48" s="13"/>
      <c r="Z48" s="13">
        <v>44035</v>
      </c>
      <c r="AA48" s="13">
        <v>43350.66</v>
      </c>
      <c r="AB48" s="80">
        <v>0.77696695810151006</v>
      </c>
      <c r="AC48" s="13"/>
      <c r="AD48" s="80">
        <v>0.1571470434231437</v>
      </c>
      <c r="AE48" s="13"/>
      <c r="AF48" s="13"/>
      <c r="AG48" s="13"/>
      <c r="AH48" s="80"/>
      <c r="AI48" s="13"/>
      <c r="AJ48" s="80"/>
      <c r="AK48" s="13"/>
    </row>
    <row r="49" spans="1:37" ht="15.75" customHeight="1">
      <c r="A49" s="168" t="s">
        <v>102</v>
      </c>
      <c r="B49" s="169"/>
      <c r="C49" s="153">
        <f t="shared" si="7"/>
        <v>20500895</v>
      </c>
      <c r="D49" s="153">
        <f t="shared" si="7"/>
        <v>18572422</v>
      </c>
      <c r="E49" s="162">
        <f>(D49/C49)</f>
        <v>0.90593225320162851</v>
      </c>
      <c r="F49" s="153">
        <f>+G49-D49</f>
        <v>1928473</v>
      </c>
      <c r="G49" s="23">
        <f t="shared" ref="G49:G51" si="8">C49*1</f>
        <v>20500895</v>
      </c>
      <c r="H49" s="25">
        <f>C49-D49</f>
        <v>1928473</v>
      </c>
      <c r="I49" s="1">
        <v>1</v>
      </c>
      <c r="J49" s="65" t="str">
        <f>A49</f>
        <v>Public Transport</v>
      </c>
      <c r="K49" s="129">
        <v>20500895</v>
      </c>
      <c r="L49" s="129">
        <v>18572422</v>
      </c>
      <c r="M49" s="131">
        <f>L49/K49</f>
        <v>0.90593225320162851</v>
      </c>
      <c r="N49" s="129">
        <v>19844693</v>
      </c>
      <c r="O49" s="129">
        <v>16411920</v>
      </c>
      <c r="P49" s="131">
        <v>0.61925407664406795</v>
      </c>
      <c r="Q49" s="81"/>
      <c r="R49" s="129">
        <v>19188923</v>
      </c>
      <c r="S49" s="129">
        <v>16576637</v>
      </c>
      <c r="T49" s="131">
        <v>0.59785142709676831</v>
      </c>
      <c r="U49" s="81"/>
      <c r="V49" s="81">
        <v>19347332</v>
      </c>
      <c r="W49" s="81">
        <v>16476256</v>
      </c>
      <c r="X49" s="80">
        <v>0.62700613190490562</v>
      </c>
      <c r="Y49" s="81"/>
      <c r="Z49" s="81">
        <v>19861346</v>
      </c>
      <c r="AA49" s="81">
        <v>15350827.599999998</v>
      </c>
      <c r="AB49" s="80">
        <v>0.51495904305780682</v>
      </c>
      <c r="AC49" s="81"/>
      <c r="AD49" s="80">
        <v>0.43890600750730813</v>
      </c>
      <c r="AE49" s="13"/>
      <c r="AF49" s="81"/>
      <c r="AG49" s="81"/>
      <c r="AH49" s="80"/>
      <c r="AI49" s="81"/>
      <c r="AJ49" s="80"/>
      <c r="AK49" s="13"/>
    </row>
    <row r="50" spans="1:37" ht="15.75" hidden="1" customHeight="1" thickBot="1">
      <c r="A50" s="168" t="s">
        <v>21</v>
      </c>
      <c r="B50" s="169"/>
      <c r="C50" s="153">
        <f t="shared" si="7"/>
        <v>0</v>
      </c>
      <c r="D50" s="153">
        <f t="shared" si="7"/>
        <v>0</v>
      </c>
      <c r="E50" s="163" t="s">
        <v>117</v>
      </c>
      <c r="F50" s="153">
        <f>+G50-D50</f>
        <v>0</v>
      </c>
      <c r="G50" s="23">
        <f t="shared" si="8"/>
        <v>0</v>
      </c>
      <c r="H50" s="25">
        <f>C50-D50</f>
        <v>0</v>
      </c>
      <c r="I50" s="1">
        <v>1</v>
      </c>
      <c r="J50" s="65" t="s">
        <v>21</v>
      </c>
      <c r="K50" s="130">
        <v>0</v>
      </c>
      <c r="L50" s="130">
        <v>0</v>
      </c>
      <c r="M50" s="133">
        <v>0</v>
      </c>
      <c r="N50" s="130">
        <v>0</v>
      </c>
      <c r="O50" s="130">
        <v>0</v>
      </c>
      <c r="P50" s="133">
        <v>0</v>
      </c>
      <c r="Q50" s="83"/>
      <c r="R50" s="130">
        <v>0</v>
      </c>
      <c r="S50" s="130">
        <v>0</v>
      </c>
      <c r="T50" s="133">
        <v>0</v>
      </c>
      <c r="U50" s="83"/>
      <c r="V50" s="83">
        <v>0</v>
      </c>
      <c r="W50" s="83">
        <v>0</v>
      </c>
      <c r="X50" s="77" t="e">
        <v>#DIV/0!</v>
      </c>
      <c r="Y50" s="83"/>
      <c r="Z50" s="83">
        <v>0</v>
      </c>
      <c r="AA50" s="83">
        <v>433900</v>
      </c>
      <c r="AB50" s="77" t="e">
        <v>#DIV/0!</v>
      </c>
      <c r="AC50" s="83"/>
      <c r="AD50" s="77">
        <v>1</v>
      </c>
      <c r="AE50" s="84"/>
      <c r="AF50" s="83"/>
      <c r="AG50" s="83"/>
      <c r="AH50" s="77"/>
      <c r="AI50" s="83"/>
      <c r="AJ50" s="77"/>
      <c r="AK50" s="84"/>
    </row>
    <row r="51" spans="1:37" ht="15.75" customHeight="1" thickBot="1">
      <c r="A51" s="170" t="s">
        <v>22</v>
      </c>
      <c r="B51" s="171"/>
      <c r="C51" s="151">
        <f>SUM(C48:C50)</f>
        <v>20544930</v>
      </c>
      <c r="D51" s="151">
        <f>SUM(D48:D50)</f>
        <v>18625895</v>
      </c>
      <c r="E51" s="162">
        <f>(D51/C51)</f>
        <v>0.9065932568278402</v>
      </c>
      <c r="F51" s="156">
        <f>+G51-D51</f>
        <v>1919035</v>
      </c>
      <c r="G51" s="23">
        <f t="shared" si="8"/>
        <v>20544930</v>
      </c>
      <c r="J51" s="50"/>
      <c r="K51" s="82">
        <f>SUM(K48:K50)</f>
        <v>20544930</v>
      </c>
      <c r="L51" s="82">
        <f>SUM(L48:L50)</f>
        <v>18625895</v>
      </c>
      <c r="M51" s="132">
        <f>L51/K51</f>
        <v>0.9065932568278402</v>
      </c>
      <c r="N51" s="82">
        <v>19888728</v>
      </c>
      <c r="O51" s="82">
        <f>SUM(O48:O50)</f>
        <v>16411920</v>
      </c>
      <c r="P51" s="132">
        <v>0.6178830058915783</v>
      </c>
      <c r="Q51" s="82"/>
      <c r="R51" s="82">
        <v>19232958</v>
      </c>
      <c r="S51" s="82">
        <f>SUM(S48:S50)</f>
        <v>16593578</v>
      </c>
      <c r="T51" s="132">
        <v>0.59648261073517661</v>
      </c>
      <c r="U51" s="82"/>
      <c r="V51" s="82">
        <v>19391367</v>
      </c>
      <c r="W51" s="82">
        <f>SUM(W48:W50)</f>
        <v>16485003.1</v>
      </c>
      <c r="X51" s="78">
        <v>0.62567425803451604</v>
      </c>
      <c r="Y51" s="82"/>
      <c r="Z51" s="82">
        <v>19905381</v>
      </c>
      <c r="AA51" s="82">
        <f>SUM(AA48:AA50)</f>
        <v>15828078.259999998</v>
      </c>
      <c r="AB51" s="78">
        <v>0.53733678697232667</v>
      </c>
      <c r="AC51" s="82"/>
      <c r="AD51" s="78">
        <v>0.4465085290198576</v>
      </c>
      <c r="AE51" s="82"/>
      <c r="AF51" s="82"/>
      <c r="AG51" s="82"/>
      <c r="AH51" s="78"/>
      <c r="AI51" s="82"/>
      <c r="AJ51" s="78"/>
      <c r="AK51" s="82"/>
    </row>
    <row r="52" spans="1:37" ht="15.75" customHeight="1" thickTop="1">
      <c r="A52" s="157"/>
      <c r="B52" s="157"/>
      <c r="C52" s="158"/>
      <c r="D52" s="158"/>
      <c r="E52" s="159"/>
      <c r="F52" s="160"/>
      <c r="G52" s="14"/>
      <c r="J52" s="50"/>
      <c r="K52" s="50"/>
      <c r="L52" s="50"/>
      <c r="M52" s="50"/>
      <c r="N52" s="137"/>
      <c r="O52" s="137"/>
      <c r="P52" s="138"/>
      <c r="Q52" s="24"/>
      <c r="R52" s="24"/>
      <c r="S52" s="24"/>
      <c r="T52" s="136"/>
      <c r="U52" s="24"/>
      <c r="V52" s="24"/>
      <c r="W52" s="24"/>
      <c r="X52" s="136"/>
      <c r="Y52" s="24"/>
      <c r="Z52" s="136"/>
      <c r="AA52" s="24"/>
      <c r="AB52" s="24"/>
      <c r="AC52" s="24"/>
      <c r="AD52" s="136"/>
      <c r="AE52" s="24"/>
      <c r="AF52" s="136"/>
      <c r="AG52" s="24"/>
    </row>
    <row r="53" spans="1:37" ht="15.75">
      <c r="A53" s="147"/>
      <c r="B53" s="147"/>
      <c r="C53" s="147"/>
      <c r="D53" s="147"/>
      <c r="E53" s="147"/>
      <c r="F53" s="147"/>
    </row>
    <row r="54" spans="1:37" ht="15.75">
      <c r="A54" s="147"/>
      <c r="B54" s="147"/>
      <c r="C54" s="147"/>
      <c r="D54" s="147"/>
      <c r="E54" s="147"/>
      <c r="F54" s="147"/>
    </row>
    <row r="55" spans="1:37" ht="15.75">
      <c r="A55" s="147"/>
      <c r="B55" s="147"/>
      <c r="C55" s="147"/>
      <c r="D55" s="147"/>
      <c r="E55" s="147"/>
      <c r="F55" s="147"/>
    </row>
    <row r="56" spans="1:37" ht="15.75">
      <c r="A56" s="147"/>
      <c r="B56" s="147"/>
      <c r="C56" s="147"/>
      <c r="D56" s="147"/>
      <c r="E56" s="147"/>
      <c r="F56" s="147"/>
    </row>
    <row r="57" spans="1:37" ht="15.75">
      <c r="A57" s="147"/>
      <c r="B57" s="147"/>
      <c r="C57" s="147"/>
      <c r="D57" s="147"/>
      <c r="E57" s="147"/>
      <c r="F57" s="147"/>
    </row>
    <row r="58" spans="1:37" ht="15.75">
      <c r="A58" s="147"/>
      <c r="B58" s="147"/>
      <c r="C58" s="147"/>
      <c r="D58" s="147"/>
      <c r="E58" s="147"/>
      <c r="F58" s="147"/>
    </row>
    <row r="59" spans="1:37" ht="15.75">
      <c r="A59" s="147"/>
      <c r="B59" s="147"/>
      <c r="C59" s="147"/>
      <c r="D59" s="147"/>
      <c r="E59" s="147"/>
      <c r="F59" s="147"/>
    </row>
    <row r="60" spans="1:37" ht="15.75">
      <c r="A60" s="147"/>
      <c r="B60" s="147"/>
      <c r="C60" s="147"/>
      <c r="D60" s="147"/>
      <c r="E60" s="147"/>
      <c r="F60" s="147"/>
    </row>
    <row r="61" spans="1:37" ht="15.75">
      <c r="A61" s="147"/>
      <c r="B61" s="147"/>
      <c r="C61" s="147"/>
      <c r="D61" s="147"/>
      <c r="E61" s="147"/>
      <c r="F61" s="147"/>
    </row>
    <row r="62" spans="1:37" ht="15.75">
      <c r="A62" s="147"/>
      <c r="B62" s="147"/>
      <c r="C62" s="147"/>
      <c r="D62" s="147"/>
      <c r="E62" s="147"/>
      <c r="F62" s="147"/>
    </row>
    <row r="63" spans="1:37" ht="15.75">
      <c r="A63" s="147"/>
      <c r="B63" s="147"/>
      <c r="C63" s="147"/>
      <c r="D63" s="147"/>
      <c r="E63" s="147"/>
      <c r="F63" s="147"/>
    </row>
    <row r="64" spans="1:37" ht="15.75">
      <c r="A64" s="147"/>
      <c r="B64" s="147"/>
      <c r="C64" s="147"/>
      <c r="D64" s="147"/>
      <c r="E64" s="147"/>
      <c r="F64" s="147"/>
    </row>
    <row r="65" spans="1:6" ht="15.75">
      <c r="A65" s="147"/>
      <c r="B65" s="147"/>
      <c r="C65" s="147"/>
      <c r="D65" s="147"/>
      <c r="E65" s="147"/>
      <c r="F65" s="147"/>
    </row>
    <row r="66" spans="1:6" ht="15.75">
      <c r="A66" s="147"/>
      <c r="B66" s="147"/>
      <c r="C66" s="147"/>
      <c r="D66" s="147"/>
      <c r="E66" s="147"/>
      <c r="F66" s="147"/>
    </row>
    <row r="67" spans="1:6" ht="15.75">
      <c r="A67" s="147"/>
      <c r="B67" s="147"/>
      <c r="C67" s="147"/>
      <c r="D67" s="147"/>
      <c r="E67" s="147"/>
      <c r="F67" s="147"/>
    </row>
    <row r="68" spans="1:6" ht="15.75">
      <c r="A68" s="147"/>
      <c r="B68" s="147"/>
      <c r="C68" s="147"/>
      <c r="D68" s="147"/>
      <c r="E68" s="147"/>
      <c r="F68" s="147"/>
    </row>
    <row r="69" spans="1:6" ht="15.75">
      <c r="A69" s="147"/>
      <c r="B69" s="147"/>
      <c r="C69" s="147"/>
      <c r="D69" s="147"/>
      <c r="E69" s="147"/>
      <c r="F69" s="147"/>
    </row>
    <row r="70" spans="1:6" ht="15.75">
      <c r="A70" s="147"/>
      <c r="B70" s="147"/>
      <c r="C70" s="147"/>
      <c r="D70" s="147"/>
      <c r="E70" s="147"/>
      <c r="F70" s="147"/>
    </row>
    <row r="71" spans="1:6" ht="15.75">
      <c r="A71" s="147"/>
      <c r="B71" s="147"/>
      <c r="C71" s="147"/>
      <c r="D71" s="147"/>
      <c r="E71" s="147"/>
      <c r="F71" s="147"/>
    </row>
    <row r="72" spans="1:6" ht="15.75">
      <c r="A72" s="147"/>
      <c r="B72" s="147"/>
      <c r="C72" s="147"/>
      <c r="D72" s="147"/>
      <c r="E72" s="147"/>
      <c r="F72" s="147"/>
    </row>
    <row r="73" spans="1:6" ht="15.75">
      <c r="A73" s="147"/>
      <c r="B73" s="147"/>
      <c r="C73" s="147"/>
      <c r="D73" s="147"/>
      <c r="E73" s="147"/>
      <c r="F73" s="147"/>
    </row>
    <row r="74" spans="1:6" ht="15.75">
      <c r="A74" s="147"/>
      <c r="B74" s="147"/>
      <c r="C74" s="147"/>
      <c r="D74" s="147"/>
      <c r="E74" s="147"/>
      <c r="F74" s="147"/>
    </row>
    <row r="75" spans="1:6" ht="15.75">
      <c r="A75" s="147"/>
      <c r="B75" s="147"/>
      <c r="C75" s="147"/>
      <c r="D75" s="147"/>
      <c r="E75" s="147"/>
      <c r="F75" s="147"/>
    </row>
    <row r="76" spans="1:6" ht="15.75">
      <c r="A76" s="147"/>
      <c r="B76" s="147"/>
      <c r="C76" s="147"/>
      <c r="D76" s="147"/>
      <c r="E76" s="147"/>
      <c r="F76" s="147"/>
    </row>
    <row r="77" spans="1:6" ht="15.75">
      <c r="A77" s="147"/>
      <c r="B77" s="147"/>
      <c r="C77" s="147"/>
      <c r="D77" s="147"/>
      <c r="E77" s="147"/>
      <c r="F77" s="147"/>
    </row>
    <row r="78" spans="1:6" ht="15.75">
      <c r="A78" s="147"/>
      <c r="B78" s="147"/>
      <c r="C78" s="147"/>
      <c r="D78" s="147"/>
      <c r="E78" s="147"/>
      <c r="F78" s="147"/>
    </row>
    <row r="79" spans="1:6" ht="15.75">
      <c r="A79" s="147"/>
      <c r="B79" s="147"/>
      <c r="C79" s="147"/>
      <c r="D79" s="147"/>
      <c r="E79" s="147"/>
      <c r="F79" s="147"/>
    </row>
    <row r="80" spans="1:6" ht="15.75">
      <c r="A80" s="147"/>
      <c r="B80" s="147"/>
      <c r="C80" s="147"/>
      <c r="D80" s="147"/>
      <c r="E80" s="147"/>
      <c r="F80" s="147"/>
    </row>
    <row r="81" spans="1:6" ht="15.75">
      <c r="A81" s="147"/>
      <c r="B81" s="147"/>
      <c r="C81" s="147"/>
      <c r="D81" s="147"/>
      <c r="E81" s="147"/>
      <c r="F81" s="147"/>
    </row>
    <row r="82" spans="1:6" ht="15.75">
      <c r="A82" s="147"/>
      <c r="B82" s="147"/>
      <c r="C82" s="147"/>
      <c r="D82" s="147"/>
      <c r="E82" s="147"/>
      <c r="F82" s="147"/>
    </row>
    <row r="83" spans="1:6" ht="15.75">
      <c r="A83" s="147"/>
      <c r="B83" s="147"/>
      <c r="C83" s="147"/>
      <c r="D83" s="147"/>
      <c r="E83" s="147"/>
      <c r="F83" s="147"/>
    </row>
    <row r="84" spans="1:6" ht="15.75">
      <c r="A84" s="147"/>
      <c r="B84" s="147"/>
      <c r="C84" s="147"/>
      <c r="D84" s="147"/>
      <c r="E84" s="147"/>
      <c r="F84" s="147"/>
    </row>
    <row r="85" spans="1:6" ht="15.75">
      <c r="A85" s="147"/>
      <c r="B85" s="147"/>
      <c r="C85" s="147"/>
      <c r="D85" s="147"/>
      <c r="E85" s="147"/>
      <c r="F85" s="147"/>
    </row>
    <row r="86" spans="1:6" ht="15.75">
      <c r="A86" s="147"/>
      <c r="B86" s="147"/>
      <c r="C86" s="147"/>
      <c r="D86" s="147"/>
      <c r="E86" s="147"/>
      <c r="F86" s="147"/>
    </row>
    <row r="87" spans="1:6" ht="15.75">
      <c r="A87" s="147"/>
      <c r="B87" s="147"/>
      <c r="C87" s="147"/>
      <c r="D87" s="147"/>
      <c r="E87" s="147"/>
      <c r="F87" s="147"/>
    </row>
    <row r="88" spans="1:6" ht="15.75">
      <c r="A88" s="147"/>
      <c r="B88" s="147"/>
      <c r="C88" s="147"/>
      <c r="D88" s="147"/>
      <c r="E88" s="147"/>
      <c r="F88" s="147"/>
    </row>
    <row r="89" spans="1:6" ht="15.75">
      <c r="A89" s="147"/>
      <c r="B89" s="147"/>
      <c r="C89" s="147"/>
      <c r="D89" s="147"/>
      <c r="E89" s="147"/>
      <c r="F89" s="147"/>
    </row>
    <row r="90" spans="1:6" ht="15.75">
      <c r="A90" s="147"/>
      <c r="B90" s="147"/>
      <c r="C90" s="147"/>
      <c r="D90" s="147"/>
      <c r="E90" s="147"/>
      <c r="F90" s="147"/>
    </row>
    <row r="91" spans="1:6" ht="15.75">
      <c r="A91" s="147"/>
      <c r="B91" s="147"/>
      <c r="C91" s="147"/>
      <c r="D91" s="147"/>
      <c r="E91" s="147"/>
      <c r="F91" s="147"/>
    </row>
    <row r="92" spans="1:6" ht="15.75">
      <c r="A92" s="147"/>
      <c r="B92" s="147"/>
      <c r="C92" s="147"/>
      <c r="D92" s="147"/>
      <c r="E92" s="147"/>
      <c r="F92" s="147"/>
    </row>
    <row r="93" spans="1:6" ht="15.75">
      <c r="A93" s="147"/>
      <c r="B93" s="147"/>
      <c r="C93" s="147"/>
      <c r="D93" s="147"/>
      <c r="E93" s="147"/>
      <c r="F93" s="147"/>
    </row>
    <row r="94" spans="1:6" ht="15.75">
      <c r="A94" s="147"/>
      <c r="B94" s="147"/>
      <c r="C94" s="147"/>
      <c r="D94" s="147"/>
      <c r="E94" s="147"/>
      <c r="F94" s="147"/>
    </row>
    <row r="95" spans="1:6" ht="15.75">
      <c r="A95" s="147"/>
      <c r="B95" s="147"/>
      <c r="C95" s="147"/>
      <c r="D95" s="147"/>
      <c r="E95" s="147"/>
      <c r="F95" s="147"/>
    </row>
    <row r="96" spans="1:6" ht="15.75">
      <c r="A96" s="147"/>
      <c r="B96" s="147"/>
      <c r="C96" s="147"/>
      <c r="D96" s="147"/>
      <c r="E96" s="147"/>
      <c r="F96" s="147"/>
    </row>
    <row r="97" spans="1:6" ht="15.75">
      <c r="A97" s="147"/>
      <c r="B97" s="147"/>
      <c r="C97" s="147"/>
      <c r="D97" s="147"/>
      <c r="E97" s="147"/>
      <c r="F97" s="147"/>
    </row>
    <row r="98" spans="1:6" ht="15.75">
      <c r="A98" s="147"/>
      <c r="B98" s="147"/>
      <c r="C98" s="147"/>
      <c r="D98" s="147"/>
      <c r="E98" s="147"/>
      <c r="F98" s="147"/>
    </row>
    <row r="99" spans="1:6" ht="15.75">
      <c r="A99" s="147"/>
      <c r="B99" s="147"/>
      <c r="C99" s="147"/>
      <c r="D99" s="147"/>
      <c r="E99" s="147"/>
      <c r="F99" s="147"/>
    </row>
    <row r="100" spans="1:6" ht="15.75">
      <c r="A100" s="147"/>
      <c r="B100" s="147"/>
      <c r="C100" s="147"/>
      <c r="D100" s="147"/>
      <c r="E100" s="147"/>
      <c r="F100" s="147"/>
    </row>
    <row r="101" spans="1:6" ht="15.75">
      <c r="A101" s="147"/>
      <c r="B101" s="147"/>
      <c r="C101" s="147"/>
      <c r="D101" s="147"/>
      <c r="E101" s="147"/>
      <c r="F101" s="147"/>
    </row>
    <row r="102" spans="1:6" ht="15.75">
      <c r="A102" s="147"/>
      <c r="B102" s="147"/>
      <c r="C102" s="147"/>
      <c r="D102" s="147"/>
      <c r="E102" s="147"/>
      <c r="F102" s="147"/>
    </row>
    <row r="103" spans="1:6" ht="9.75" customHeight="1">
      <c r="A103" s="147"/>
      <c r="B103" s="147"/>
      <c r="C103" s="147"/>
      <c r="D103" s="147"/>
      <c r="E103" s="147"/>
      <c r="F103" s="147"/>
    </row>
    <row r="104" spans="1:6" ht="15.75">
      <c r="A104" s="147"/>
      <c r="B104" s="147"/>
      <c r="C104" s="147"/>
      <c r="D104" s="147"/>
      <c r="E104" s="147"/>
      <c r="F104" s="147"/>
    </row>
    <row r="105" spans="1:6" ht="15.75">
      <c r="A105" s="147"/>
      <c r="B105" s="147"/>
      <c r="C105" s="147"/>
      <c r="D105" s="147"/>
      <c r="E105" s="147"/>
      <c r="F105" s="147"/>
    </row>
    <row r="106" spans="1:6" ht="15.75">
      <c r="A106" s="147"/>
      <c r="B106" s="147"/>
      <c r="C106" s="147"/>
      <c r="D106" s="147"/>
      <c r="E106" s="147"/>
      <c r="F106" s="147"/>
    </row>
    <row r="107" spans="1:6" ht="15.75">
      <c r="A107" s="147"/>
      <c r="B107" s="147"/>
      <c r="C107" s="147"/>
      <c r="D107" s="147"/>
      <c r="E107" s="147"/>
      <c r="F107" s="147"/>
    </row>
    <row r="108" spans="1:6" ht="15.75">
      <c r="A108" s="147"/>
      <c r="B108" s="147"/>
      <c r="C108" s="147"/>
      <c r="D108" s="147"/>
      <c r="E108" s="147"/>
      <c r="F108" s="147"/>
    </row>
    <row r="109" spans="1:6" ht="15.75">
      <c r="A109" s="147"/>
      <c r="B109" s="147"/>
      <c r="C109" s="147"/>
      <c r="D109" s="147"/>
      <c r="E109" s="147"/>
      <c r="F109" s="147"/>
    </row>
    <row r="110" spans="1:6" ht="15.75">
      <c r="A110" s="147"/>
      <c r="B110" s="147"/>
      <c r="C110" s="147"/>
      <c r="D110" s="147"/>
      <c r="E110" s="147"/>
      <c r="F110" s="147"/>
    </row>
    <row r="111" spans="1:6" ht="15.75">
      <c r="A111" s="147"/>
      <c r="B111" s="147"/>
      <c r="C111" s="147"/>
      <c r="D111" s="147"/>
      <c r="E111" s="147"/>
      <c r="F111" s="147"/>
    </row>
    <row r="112" spans="1:6" ht="15.75">
      <c r="A112" s="147"/>
      <c r="B112" s="147"/>
      <c r="C112" s="147"/>
      <c r="D112" s="147"/>
      <c r="E112" s="147"/>
      <c r="F112" s="147"/>
    </row>
    <row r="113" spans="1:6" ht="15.75">
      <c r="A113" s="147"/>
      <c r="B113" s="147"/>
      <c r="C113" s="147"/>
      <c r="D113" s="147"/>
      <c r="E113" s="147"/>
      <c r="F113" s="147"/>
    </row>
    <row r="114" spans="1:6" ht="15.75">
      <c r="A114" s="147"/>
      <c r="B114" s="147"/>
      <c r="C114" s="147"/>
      <c r="D114" s="147"/>
      <c r="E114" s="147"/>
      <c r="F114" s="147"/>
    </row>
    <row r="115" spans="1:6" ht="15.75">
      <c r="A115" s="147"/>
      <c r="B115" s="147"/>
      <c r="C115" s="147"/>
      <c r="D115" s="147"/>
      <c r="E115" s="147"/>
      <c r="F115" s="147"/>
    </row>
    <row r="116" spans="1:6" ht="15.75">
      <c r="A116" s="147"/>
      <c r="B116" s="147"/>
      <c r="C116" s="147"/>
      <c r="D116" s="147"/>
      <c r="E116" s="147"/>
      <c r="F116" s="147"/>
    </row>
    <row r="117" spans="1:6" ht="15.75">
      <c r="A117" s="147"/>
      <c r="B117" s="147"/>
      <c r="C117" s="147"/>
      <c r="D117" s="147"/>
      <c r="E117" s="147"/>
      <c r="F117" s="147"/>
    </row>
    <row r="118" spans="1:6" ht="15.75">
      <c r="A118" s="147"/>
      <c r="B118" s="147"/>
      <c r="C118" s="147"/>
      <c r="D118" s="147"/>
      <c r="E118" s="147"/>
      <c r="F118" s="147"/>
    </row>
    <row r="119" spans="1:6" ht="15.75">
      <c r="A119" s="147"/>
      <c r="B119" s="147"/>
      <c r="C119" s="147"/>
      <c r="D119" s="147"/>
      <c r="E119" s="147"/>
      <c r="F119" s="147"/>
    </row>
    <row r="120" spans="1:6" ht="15.75">
      <c r="A120" s="147"/>
      <c r="B120" s="147"/>
      <c r="C120" s="147"/>
      <c r="D120" s="147"/>
      <c r="E120" s="147"/>
      <c r="F120" s="147"/>
    </row>
    <row r="121" spans="1:6" ht="15.75">
      <c r="A121" s="147"/>
      <c r="B121" s="147"/>
      <c r="C121" s="147"/>
      <c r="D121" s="147"/>
      <c r="E121" s="147"/>
      <c r="F121" s="147"/>
    </row>
    <row r="122" spans="1:6" ht="15.75">
      <c r="A122" s="147"/>
      <c r="B122" s="147"/>
      <c r="C122" s="147"/>
      <c r="D122" s="147"/>
      <c r="E122" s="147"/>
      <c r="F122" s="147"/>
    </row>
    <row r="123" spans="1:6" ht="15.75">
      <c r="A123" s="147"/>
      <c r="B123" s="147"/>
      <c r="C123" s="147"/>
      <c r="D123" s="147"/>
      <c r="E123" s="147"/>
      <c r="F123" s="147"/>
    </row>
    <row r="124" spans="1:6" ht="15.75">
      <c r="A124" s="147"/>
      <c r="B124" s="147"/>
      <c r="C124" s="147"/>
      <c r="D124" s="147"/>
      <c r="E124" s="147"/>
      <c r="F124" s="147"/>
    </row>
    <row r="125" spans="1:6" ht="15.75">
      <c r="A125" s="147"/>
      <c r="B125" s="147"/>
      <c r="C125" s="147"/>
      <c r="D125" s="147"/>
      <c r="E125" s="147"/>
      <c r="F125" s="147"/>
    </row>
    <row r="126" spans="1:6" ht="15.75">
      <c r="A126" s="147"/>
      <c r="B126" s="147"/>
      <c r="C126" s="147"/>
      <c r="D126" s="147"/>
      <c r="E126" s="147"/>
      <c r="F126" s="147"/>
    </row>
    <row r="127" spans="1:6" ht="15.75">
      <c r="A127" s="147"/>
      <c r="B127" s="147"/>
      <c r="C127" s="147"/>
      <c r="D127" s="147"/>
      <c r="E127" s="147"/>
      <c r="F127" s="147"/>
    </row>
  </sheetData>
  <mergeCells count="17">
    <mergeCell ref="A47:B47"/>
    <mergeCell ref="A48:B48"/>
    <mergeCell ref="A49:B49"/>
    <mergeCell ref="A50:B50"/>
    <mergeCell ref="A51:B51"/>
    <mergeCell ref="A19:B19"/>
    <mergeCell ref="A20:B20"/>
    <mergeCell ref="A21:B21"/>
    <mergeCell ref="A22:B22"/>
    <mergeCell ref="A23:B23"/>
    <mergeCell ref="A45:F45"/>
    <mergeCell ref="B3:D3"/>
    <mergeCell ref="A13:F13"/>
    <mergeCell ref="A14:F14"/>
    <mergeCell ref="A16:B16"/>
    <mergeCell ref="A17:B17"/>
    <mergeCell ref="A18:B18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79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opLeftCell="I31" workbookViewId="0">
      <selection activeCell="M48" sqref="M48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8" style="2" customWidth="1"/>
    <col min="6" max="6" width="18.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2.5" style="2" bestFit="1" customWidth="1"/>
    <col min="12" max="12" width="10.25" style="2" bestFit="1" customWidth="1"/>
    <col min="13" max="14" width="11.5" style="2" customWidth="1"/>
    <col min="15" max="15" width="11.125" style="2" bestFit="1" customWidth="1"/>
    <col min="16" max="16" width="13.25" style="2" bestFit="1" customWidth="1"/>
    <col min="17" max="17" width="12.75" style="2" customWidth="1"/>
    <col min="18" max="18" width="12.5" style="2" bestFit="1" customWidth="1"/>
    <col min="19" max="19" width="11.25" style="2" customWidth="1"/>
    <col min="20" max="20" width="12.5" style="2" bestFit="1" customWidth="1"/>
    <col min="21" max="21" width="11.125" style="2" bestFit="1" customWidth="1"/>
    <col min="22" max="22" width="15.875" style="2" customWidth="1"/>
    <col min="23" max="23" width="10.75" style="2" customWidth="1"/>
    <col min="24" max="24" width="13.625" style="2" customWidth="1"/>
    <col min="25" max="25" width="11.875" style="2" customWidth="1"/>
    <col min="26" max="26" width="12.5" style="2" bestFit="1" customWidth="1"/>
    <col min="27" max="27" width="11.5" style="2" customWidth="1"/>
    <col min="28" max="28" width="11" style="2" customWidth="1"/>
    <col min="29" max="29" width="9" style="2"/>
    <col min="30" max="30" width="14" style="2" customWidth="1"/>
    <col min="31" max="16384" width="9" style="2"/>
  </cols>
  <sheetData>
    <row r="1" spans="1:24" ht="15.95" customHeight="1">
      <c r="E1" s="3"/>
      <c r="F1" s="3" t="s">
        <v>17</v>
      </c>
    </row>
    <row r="2" spans="1:24" ht="15.95" customHeight="1">
      <c r="E2" s="3"/>
      <c r="F2" s="3" t="s">
        <v>36</v>
      </c>
    </row>
    <row r="3" spans="1:24" ht="15.95" customHeight="1">
      <c r="B3" s="175" t="s">
        <v>30</v>
      </c>
      <c r="C3" s="175"/>
      <c r="D3" s="175"/>
      <c r="E3" s="3"/>
      <c r="F3" s="3" t="s">
        <v>37</v>
      </c>
    </row>
    <row r="4" spans="1:24" ht="15.95" customHeight="1">
      <c r="E4" s="3"/>
      <c r="F4" s="3" t="s">
        <v>38</v>
      </c>
    </row>
    <row r="5" spans="1:24" ht="15.95" customHeight="1">
      <c r="E5" s="3"/>
      <c r="F5" s="3" t="s">
        <v>18</v>
      </c>
    </row>
    <row r="6" spans="1:24" ht="15.75">
      <c r="A6" s="4"/>
      <c r="B6" s="4"/>
      <c r="C6" s="4"/>
      <c r="D6" s="5"/>
      <c r="E6" s="5"/>
      <c r="F6" s="4"/>
    </row>
    <row r="7" spans="1:24" ht="15.75">
      <c r="D7" s="3"/>
      <c r="E7" s="3"/>
    </row>
    <row r="8" spans="1:24" ht="19.5" customHeight="1">
      <c r="A8" s="6" t="s">
        <v>25</v>
      </c>
      <c r="B8" s="7" t="s">
        <v>26</v>
      </c>
    </row>
    <row r="9" spans="1:24" ht="19.5" customHeight="1">
      <c r="A9" s="6" t="s">
        <v>27</v>
      </c>
      <c r="B9" s="7" t="s">
        <v>64</v>
      </c>
    </row>
    <row r="10" spans="1:24" ht="19.5" customHeight="1">
      <c r="A10" s="6" t="s">
        <v>28</v>
      </c>
      <c r="B10" s="8">
        <v>40739</v>
      </c>
    </row>
    <row r="11" spans="1:24" ht="19.5" customHeight="1">
      <c r="A11" s="6" t="s">
        <v>29</v>
      </c>
      <c r="B11" s="7" t="s">
        <v>129</v>
      </c>
    </row>
    <row r="12" spans="1:24" ht="19.5" customHeight="1">
      <c r="A12" s="6"/>
      <c r="B12" s="7"/>
    </row>
    <row r="13" spans="1:24" ht="12" customHeight="1">
      <c r="A13" s="184"/>
      <c r="B13" s="184"/>
      <c r="C13" s="184"/>
      <c r="D13" s="184"/>
      <c r="E13" s="184"/>
      <c r="F13" s="184"/>
    </row>
    <row r="14" spans="1:24" ht="31.5" customHeight="1">
      <c r="A14" s="183" t="s">
        <v>87</v>
      </c>
      <c r="B14" s="183"/>
      <c r="C14" s="183"/>
      <c r="D14" s="183"/>
      <c r="E14" s="183"/>
      <c r="F14" s="183"/>
    </row>
    <row r="15" spans="1:24">
      <c r="K15" s="64"/>
      <c r="L15" s="64"/>
      <c r="M15" s="64"/>
      <c r="N15" s="64"/>
    </row>
    <row r="16" spans="1:24" ht="38.25">
      <c r="A16" s="185"/>
      <c r="B16" s="185"/>
      <c r="C16" s="9" t="s">
        <v>113</v>
      </c>
      <c r="D16" s="9" t="s">
        <v>130</v>
      </c>
      <c r="E16" s="9" t="s">
        <v>19</v>
      </c>
      <c r="F16" s="9" t="s">
        <v>97</v>
      </c>
      <c r="G16" s="10">
        <v>0.75</v>
      </c>
      <c r="H16" s="2" t="s">
        <v>31</v>
      </c>
      <c r="I16" s="10">
        <v>0.75</v>
      </c>
      <c r="K16" s="9" t="s">
        <v>110</v>
      </c>
      <c r="L16" s="9" t="s">
        <v>111</v>
      </c>
      <c r="M16" s="9">
        <v>2011</v>
      </c>
      <c r="N16" s="9" t="s">
        <v>65</v>
      </c>
      <c r="O16" s="9" t="s">
        <v>132</v>
      </c>
      <c r="P16" s="9">
        <v>2010</v>
      </c>
      <c r="Q16" s="9" t="s">
        <v>1</v>
      </c>
      <c r="R16" s="9" t="s">
        <v>133</v>
      </c>
      <c r="S16" s="9" t="s">
        <v>76</v>
      </c>
      <c r="T16" s="9">
        <v>2009</v>
      </c>
      <c r="U16" s="9" t="s">
        <v>74</v>
      </c>
      <c r="V16" s="9" t="s">
        <v>134</v>
      </c>
      <c r="W16" s="9" t="s">
        <v>77</v>
      </c>
      <c r="X16" s="9">
        <v>2008</v>
      </c>
    </row>
    <row r="17" spans="1:24" ht="15.75" customHeight="1">
      <c r="A17" s="186" t="s">
        <v>20</v>
      </c>
      <c r="B17" s="186"/>
      <c r="C17" s="11">
        <f t="shared" ref="C17:D22" si="0">K17</f>
        <v>0</v>
      </c>
      <c r="D17" s="11">
        <f t="shared" si="0"/>
        <v>0</v>
      </c>
      <c r="E17" s="139" t="s">
        <v>117</v>
      </c>
      <c r="F17" s="29">
        <f t="shared" ref="F17:F22" si="1">D17-G17</f>
        <v>0</v>
      </c>
      <c r="G17" s="14">
        <f>C17*0.75</f>
        <v>0</v>
      </c>
      <c r="H17" s="15">
        <f t="shared" ref="H17:H22" si="2">C17-D17</f>
        <v>0</v>
      </c>
      <c r="I17" s="10">
        <v>0.75</v>
      </c>
      <c r="J17" s="21" t="str">
        <f t="shared" ref="J17:J22" si="3">A17</f>
        <v>Current / Delinquent Taxes</v>
      </c>
      <c r="K17" s="129">
        <v>0</v>
      </c>
      <c r="L17" s="129">
        <v>0</v>
      </c>
      <c r="M17" s="12" t="e">
        <f t="shared" ref="M17:M23" si="4">(L17/K17)</f>
        <v>#DIV/0!</v>
      </c>
      <c r="N17" s="11">
        <v>4337995</v>
      </c>
      <c r="O17" s="11">
        <v>4303975.5599999996</v>
      </c>
      <c r="P17" s="12">
        <f t="shared" ref="P17:P23" si="5">(O17/N17)</f>
        <v>0.99215779640133273</v>
      </c>
      <c r="Q17" s="11">
        <f>'FY 2009 Rev 01-15-10'!E3</f>
        <v>4070011</v>
      </c>
      <c r="R17" s="11">
        <f>SUM('FY 2009 Rev 01-15-10'!F3:N3)</f>
        <v>4047124.9000000004</v>
      </c>
      <c r="S17" s="11">
        <f>'FY 2009 Rev 01-15-10'!D3</f>
        <v>4095648.34</v>
      </c>
      <c r="T17" s="12">
        <f t="shared" ref="T17:T23" si="6">R17/S17</f>
        <v>0.98815243986499113</v>
      </c>
      <c r="U17" s="11">
        <f>'FY 2008 Rev 01-15-10'!E3</f>
        <v>762480</v>
      </c>
      <c r="V17" s="11">
        <f>SUM('FY 2008 Rev 01-15-10'!F3:N3)</f>
        <v>777232.04999999993</v>
      </c>
      <c r="W17" s="11">
        <f>'FY 2008 Rev 01-15-10'!D3</f>
        <v>788839.59</v>
      </c>
      <c r="X17" s="12">
        <f t="shared" ref="X17:X23" si="7">V17/W17</f>
        <v>0.98528529735684278</v>
      </c>
    </row>
    <row r="18" spans="1:24" ht="15.75" customHeight="1">
      <c r="A18" s="186" t="s">
        <v>66</v>
      </c>
      <c r="B18" s="186"/>
      <c r="C18" s="22">
        <f t="shared" si="0"/>
        <v>2000</v>
      </c>
      <c r="D18" s="22">
        <f t="shared" si="0"/>
        <v>1134</v>
      </c>
      <c r="E18" s="12">
        <f t="shared" ref="E18:E23" si="8">(D18/C18)</f>
        <v>0.56699999999999995</v>
      </c>
      <c r="F18" s="22">
        <f>D18-G18</f>
        <v>-366</v>
      </c>
      <c r="G18" s="14">
        <f t="shared" ref="G18:G23" si="9">C18*0.75</f>
        <v>1500</v>
      </c>
      <c r="H18" s="15">
        <f t="shared" si="2"/>
        <v>866</v>
      </c>
      <c r="I18" s="10">
        <v>0.75</v>
      </c>
      <c r="J18" s="21" t="str">
        <f t="shared" si="3"/>
        <v>License / Permits</v>
      </c>
      <c r="K18" s="129">
        <v>2000</v>
      </c>
      <c r="L18" s="129">
        <v>1134</v>
      </c>
      <c r="M18" s="12">
        <f t="shared" si="4"/>
        <v>0.56699999999999995</v>
      </c>
      <c r="N18" s="16">
        <v>1854</v>
      </c>
      <c r="O18" s="28">
        <v>1188</v>
      </c>
      <c r="P18" s="12">
        <f t="shared" si="5"/>
        <v>0.64077669902912626</v>
      </c>
      <c r="Q18" s="28">
        <f>'FY 2009 Rev 01-15-10'!E5</f>
        <v>3000</v>
      </c>
      <c r="R18" s="28">
        <f>SUM('FY 2009 Rev 01-15-10'!F5:N5)</f>
        <v>1188</v>
      </c>
      <c r="S18" s="28">
        <f>'FY 2009 Rev 01-15-10'!D5</f>
        <v>1476</v>
      </c>
      <c r="T18" s="12">
        <f t="shared" si="6"/>
        <v>0.80487804878048785</v>
      </c>
      <c r="U18" s="28">
        <f>'FY 2008 Rev 01-15-10'!E5</f>
        <v>7500</v>
      </c>
      <c r="V18" s="28">
        <f>SUM('FY 2008 Rev 01-15-10'!F5:N5)</f>
        <v>2034</v>
      </c>
      <c r="W18" s="28">
        <f>'FY 2008 Rev 01-15-10'!D5</f>
        <v>3209</v>
      </c>
      <c r="X18" s="12">
        <f t="shared" si="7"/>
        <v>0.63384231847927708</v>
      </c>
    </row>
    <row r="19" spans="1:24" ht="24.75" customHeight="1">
      <c r="A19" s="186" t="s">
        <v>2</v>
      </c>
      <c r="B19" s="186"/>
      <c r="C19" s="22">
        <f t="shared" si="0"/>
        <v>13169000</v>
      </c>
      <c r="D19" s="22">
        <f t="shared" si="0"/>
        <v>10932395</v>
      </c>
      <c r="E19" s="12">
        <f t="shared" si="8"/>
        <v>0.83016136380894523</v>
      </c>
      <c r="F19" s="22">
        <f t="shared" si="1"/>
        <v>1055645</v>
      </c>
      <c r="G19" s="14">
        <f t="shared" si="9"/>
        <v>9876750</v>
      </c>
      <c r="H19" s="27">
        <f t="shared" si="2"/>
        <v>2236605</v>
      </c>
      <c r="I19" s="10">
        <v>0.75</v>
      </c>
      <c r="J19" s="21" t="str">
        <f t="shared" si="3"/>
        <v>Fees/Charges for Services</v>
      </c>
      <c r="K19" s="129">
        <v>13169000</v>
      </c>
      <c r="L19" s="129">
        <f>143754+10788641</f>
        <v>10932395</v>
      </c>
      <c r="M19" s="12">
        <f t="shared" si="4"/>
        <v>0.83016136380894523</v>
      </c>
      <c r="N19" s="16">
        <v>12094490</v>
      </c>
      <c r="O19" s="28">
        <v>10150131.33</v>
      </c>
      <c r="P19" s="12">
        <f t="shared" si="5"/>
        <v>0.83923599341518329</v>
      </c>
      <c r="Q19" s="28">
        <f>'FY 2009 Rev 01-15-10'!E10</f>
        <v>11806400</v>
      </c>
      <c r="R19" s="28">
        <f>SUM('FY 2009 Rev 01-15-10'!F10:N10)</f>
        <v>8940053.8600000013</v>
      </c>
      <c r="S19" s="28">
        <f>'FY 2009 Rev 01-15-10'!D10</f>
        <v>13237833.390000001</v>
      </c>
      <c r="T19" s="12">
        <f t="shared" si="6"/>
        <v>0.67534116774376485</v>
      </c>
      <c r="U19" s="28">
        <f>'FY 2008 Rev 01-15-10'!E10</f>
        <v>11740700</v>
      </c>
      <c r="V19" s="28">
        <f>SUM('FY 2008 Rev 01-15-10'!F10:N10)</f>
        <v>11570250.370000001</v>
      </c>
      <c r="W19" s="28">
        <f>'FY 2008 Rev 01-15-10'!D10</f>
        <v>13297241.34</v>
      </c>
      <c r="X19" s="12">
        <f t="shared" si="7"/>
        <v>0.87012411628531072</v>
      </c>
    </row>
    <row r="20" spans="1:24" ht="15.75" customHeight="1">
      <c r="A20" s="186" t="s">
        <v>4</v>
      </c>
      <c r="B20" s="186"/>
      <c r="C20" s="22">
        <f t="shared" si="0"/>
        <v>2066000</v>
      </c>
      <c r="D20" s="22">
        <f t="shared" si="0"/>
        <v>1251388</v>
      </c>
      <c r="E20" s="12">
        <f t="shared" si="8"/>
        <v>0.60570571151984509</v>
      </c>
      <c r="F20" s="22">
        <f t="shared" si="1"/>
        <v>-298112</v>
      </c>
      <c r="G20" s="14">
        <f t="shared" si="9"/>
        <v>1549500</v>
      </c>
      <c r="H20" s="27">
        <f t="shared" si="2"/>
        <v>814612</v>
      </c>
      <c r="I20" s="10">
        <v>0.75</v>
      </c>
      <c r="J20" s="21" t="str">
        <f t="shared" si="3"/>
        <v>Fines</v>
      </c>
      <c r="K20" s="129">
        <v>2066000</v>
      </c>
      <c r="L20" s="129">
        <v>1251388</v>
      </c>
      <c r="M20" s="12">
        <f t="shared" si="4"/>
        <v>0.60570571151984509</v>
      </c>
      <c r="N20" s="16">
        <v>2295355</v>
      </c>
      <c r="O20" s="28">
        <v>1556126</v>
      </c>
      <c r="P20" s="12">
        <f t="shared" si="5"/>
        <v>0.67794567724818167</v>
      </c>
      <c r="Q20" s="28">
        <f>'FY 2009 Rev 01-15-10'!E12</f>
        <v>1904500</v>
      </c>
      <c r="R20" s="28">
        <f>SUM('FY 2009 Rev 01-15-10'!F12:N12)</f>
        <v>1617748.17</v>
      </c>
      <c r="S20" s="28">
        <f>'FY 2009 Rev 01-15-10'!D12</f>
        <v>2213669.08</v>
      </c>
      <c r="T20" s="12">
        <f t="shared" si="6"/>
        <v>0.73079946077577229</v>
      </c>
      <c r="U20" s="28">
        <f>'FY 2008 Rev 01-15-10'!E12</f>
        <v>2042325</v>
      </c>
      <c r="V20" s="28">
        <f>SUM('FY 2008 Rev 01-15-10'!F12:N12)</f>
        <v>1630940.11</v>
      </c>
      <c r="W20" s="28">
        <f>'FY 2008 Rev 01-15-10'!D12</f>
        <v>2340429.91</v>
      </c>
      <c r="X20" s="12">
        <f t="shared" si="7"/>
        <v>0.69685492525601844</v>
      </c>
    </row>
    <row r="21" spans="1:24" ht="15.75" customHeight="1">
      <c r="A21" s="186" t="s">
        <v>3</v>
      </c>
      <c r="B21" s="186"/>
      <c r="C21" s="22">
        <f t="shared" si="0"/>
        <v>120000</v>
      </c>
      <c r="D21" s="22">
        <f t="shared" si="0"/>
        <v>145211</v>
      </c>
      <c r="E21" s="12">
        <f t="shared" si="8"/>
        <v>1.2100916666666666</v>
      </c>
      <c r="F21" s="22">
        <f t="shared" si="1"/>
        <v>55211</v>
      </c>
      <c r="G21" s="14">
        <f t="shared" si="9"/>
        <v>90000</v>
      </c>
      <c r="H21" s="27">
        <v>0</v>
      </c>
      <c r="I21" s="10">
        <v>0.75</v>
      </c>
      <c r="J21" s="21" t="str">
        <f t="shared" si="3"/>
        <v>Investment Revenue</v>
      </c>
      <c r="K21" s="129">
        <v>120000</v>
      </c>
      <c r="L21" s="129">
        <v>145211</v>
      </c>
      <c r="M21" s="12">
        <f t="shared" si="4"/>
        <v>1.2100916666666666</v>
      </c>
      <c r="N21" s="16">
        <v>280881</v>
      </c>
      <c r="O21" s="28">
        <v>150250.53</v>
      </c>
      <c r="P21" s="12">
        <f t="shared" si="5"/>
        <v>0.53492592948615247</v>
      </c>
      <c r="Q21" s="28">
        <f>'FY 2009 Rev 01-15-10'!E14</f>
        <v>305000</v>
      </c>
      <c r="R21" s="28">
        <f>SUM('FY 2009 Rev 01-15-10'!F14:N14)</f>
        <v>211417.35999999996</v>
      </c>
      <c r="S21" s="28">
        <f>'FY 2009 Rev 01-15-10'!D14</f>
        <v>284617.61</v>
      </c>
      <c r="T21" s="12">
        <f t="shared" si="6"/>
        <v>0.74281194336499401</v>
      </c>
      <c r="U21" s="28">
        <f>'FY 2008 Rev 01-15-10'!E14</f>
        <v>572500</v>
      </c>
      <c r="V21" s="28">
        <f>SUM('FY 2008 Rev 01-15-10'!F14:N14)</f>
        <v>331805.75</v>
      </c>
      <c r="W21" s="28">
        <f>'FY 2008 Rev 01-15-10'!D14</f>
        <v>457042.89</v>
      </c>
      <c r="X21" s="12">
        <f t="shared" si="7"/>
        <v>0.72598383490879814</v>
      </c>
    </row>
    <row r="22" spans="1:24" ht="15.75" customHeight="1" thickBot="1">
      <c r="A22" s="186" t="s">
        <v>21</v>
      </c>
      <c r="B22" s="186"/>
      <c r="C22" s="22">
        <f t="shared" si="0"/>
        <v>25000</v>
      </c>
      <c r="D22" s="22">
        <f t="shared" si="0"/>
        <v>6390</v>
      </c>
      <c r="E22" s="12">
        <f t="shared" si="8"/>
        <v>0.25559999999999999</v>
      </c>
      <c r="F22" s="22">
        <f t="shared" si="1"/>
        <v>-12360</v>
      </c>
      <c r="G22" s="14">
        <f t="shared" si="9"/>
        <v>18750</v>
      </c>
      <c r="H22" s="27">
        <f t="shared" si="2"/>
        <v>18610</v>
      </c>
      <c r="I22" s="10">
        <v>0.75</v>
      </c>
      <c r="J22" s="21" t="str">
        <f t="shared" si="3"/>
        <v>Miscellaneous</v>
      </c>
      <c r="K22" s="130">
        <f>15000+10000</f>
        <v>25000</v>
      </c>
      <c r="L22" s="130">
        <v>6390</v>
      </c>
      <c r="M22" s="127">
        <f t="shared" si="4"/>
        <v>0.25559999999999999</v>
      </c>
      <c r="N22" s="52">
        <v>25400</v>
      </c>
      <c r="O22" s="53">
        <v>53786.52</v>
      </c>
      <c r="P22" s="77">
        <f t="shared" si="5"/>
        <v>2.1175795275590552</v>
      </c>
      <c r="Q22" s="53">
        <f>'FY 2009 Rev 01-15-10'!E16+'FY 2009 Rev 01-15-10'!E18+'FY 2009 Rev 01-15-10'!E20</f>
        <v>117000</v>
      </c>
      <c r="R22" s="53">
        <f>SUM('FY 2009 Rev 01-15-10'!F16:N16,'FY 2009 Rev 01-15-10'!F18:N18,'FY 2009 Rev 01-15-10'!F20:N20)</f>
        <v>33738.479999999996</v>
      </c>
      <c r="S22" s="53">
        <f>'FY 2009 Rev 01-15-10'!D16+'FY 2009 Rev 01-15-10'!D18+'FY 2009 Rev 01-15-10'!D20</f>
        <v>65838.240000000005</v>
      </c>
      <c r="T22" s="77">
        <f t="shared" si="6"/>
        <v>0.51244504713370209</v>
      </c>
      <c r="U22" s="53">
        <f>'FY 2008 Rev 01-15-10'!E16+'FY 2008 Rev 01-15-10'!E18+'FY 2008 Rev 01-15-10'!E20</f>
        <v>90000</v>
      </c>
      <c r="V22" s="53">
        <f>SUM('FY 2008 Rev 01-15-10'!F16:N16,'FY 2008 Rev 01-15-10'!F18:N18,'FY 2008 Rev 01-15-10'!F20:N20)</f>
        <v>321027.88999999996</v>
      </c>
      <c r="W22" s="53">
        <f>'FY 2008 Rev 01-15-10'!D16+'FY 2008 Rev 01-15-10'!D18+'FY 2008 Rev 01-15-10'!D20</f>
        <v>363410.55000000005</v>
      </c>
      <c r="X22" s="77">
        <f t="shared" si="7"/>
        <v>0.88337526249581888</v>
      </c>
    </row>
    <row r="23" spans="1:24" ht="15.75" customHeight="1" thickBot="1">
      <c r="A23" s="187" t="s">
        <v>22</v>
      </c>
      <c r="B23" s="187"/>
      <c r="C23" s="11">
        <f>SUM(C17:C22)</f>
        <v>15382000</v>
      </c>
      <c r="D23" s="11">
        <f>SUM(D17:D22)</f>
        <v>12336518</v>
      </c>
      <c r="E23" s="12">
        <f t="shared" si="8"/>
        <v>0.80201001170198938</v>
      </c>
      <c r="F23" s="17">
        <f>SUM(F17:F22)</f>
        <v>800018</v>
      </c>
      <c r="G23" s="14">
        <f t="shared" si="9"/>
        <v>11536500</v>
      </c>
      <c r="H23" s="27"/>
      <c r="J23" s="21"/>
      <c r="K23" s="128">
        <f>SUM(K17:K22)</f>
        <v>15382000</v>
      </c>
      <c r="L23" s="51">
        <f>SUM(L17:L22)</f>
        <v>12336518</v>
      </c>
      <c r="M23" s="126">
        <f t="shared" si="4"/>
        <v>0.80201001170198938</v>
      </c>
      <c r="N23" s="51">
        <f>SUM(N17:N22)</f>
        <v>19035975</v>
      </c>
      <c r="O23" s="51">
        <f>SUM(O17:O22)</f>
        <v>16215457.939999999</v>
      </c>
      <c r="P23" s="78">
        <f t="shared" si="5"/>
        <v>0.85183227756918145</v>
      </c>
      <c r="Q23" s="51">
        <f>SUM(Q17:Q22)</f>
        <v>18205911</v>
      </c>
      <c r="R23" s="51">
        <f>SUM(R17:R22)</f>
        <v>14851270.770000001</v>
      </c>
      <c r="S23" s="51">
        <f>SUM(S17:S22)</f>
        <v>19899082.66</v>
      </c>
      <c r="T23" s="78">
        <f t="shared" si="6"/>
        <v>0.74632941747878545</v>
      </c>
      <c r="U23" s="51">
        <f>SUM(U17:U22)</f>
        <v>15215505</v>
      </c>
      <c r="V23" s="51">
        <f>SUM(V17:V22)</f>
        <v>14633290.170000002</v>
      </c>
      <c r="W23" s="51">
        <f>SUM(W17:W22)</f>
        <v>17250173.280000001</v>
      </c>
      <c r="X23" s="78">
        <f t="shared" si="7"/>
        <v>0.84829815518235774</v>
      </c>
    </row>
    <row r="24" spans="1:24" ht="22.5" customHeight="1" thickTop="1">
      <c r="J24" s="21"/>
      <c r="K24" s="26"/>
    </row>
    <row r="25" spans="1:24">
      <c r="J25" s="21"/>
      <c r="K25" s="26"/>
    </row>
    <row r="39" spans="1:30">
      <c r="J39" s="65"/>
      <c r="K39" s="65"/>
    </row>
    <row r="40" spans="1:30">
      <c r="J40" s="65"/>
      <c r="K40" s="65"/>
    </row>
    <row r="41" spans="1:30">
      <c r="J41" s="65"/>
      <c r="K41" s="65"/>
    </row>
    <row r="42" spans="1:30">
      <c r="J42" s="65"/>
      <c r="K42" s="65"/>
    </row>
    <row r="43" spans="1:30">
      <c r="J43" s="65"/>
      <c r="K43" s="65"/>
    </row>
    <row r="44" spans="1:30">
      <c r="J44" s="65"/>
      <c r="K44" s="65"/>
    </row>
    <row r="45" spans="1:30" ht="38.25" customHeight="1">
      <c r="A45" s="183"/>
      <c r="B45" s="183"/>
      <c r="C45" s="183"/>
      <c r="D45" s="183"/>
      <c r="E45" s="183"/>
      <c r="F45" s="183"/>
      <c r="J45" s="65"/>
      <c r="K45" s="65"/>
    </row>
    <row r="46" spans="1:30" ht="42" customHeight="1">
      <c r="A46" s="183" t="s">
        <v>88</v>
      </c>
      <c r="B46" s="183"/>
      <c r="C46" s="183"/>
      <c r="D46" s="183"/>
      <c r="E46" s="183"/>
      <c r="F46" s="183"/>
      <c r="J46" s="65"/>
      <c r="K46" s="65"/>
    </row>
    <row r="47" spans="1:30" ht="36" customHeight="1">
      <c r="A47" s="178"/>
      <c r="B47" s="178"/>
      <c r="C47" s="19" t="s">
        <v>113</v>
      </c>
      <c r="D47" s="19" t="s">
        <v>131</v>
      </c>
      <c r="E47" s="19" t="s">
        <v>19</v>
      </c>
      <c r="F47" s="9" t="s">
        <v>97</v>
      </c>
      <c r="G47" s="10">
        <v>0.75</v>
      </c>
      <c r="H47" s="2" t="s">
        <v>32</v>
      </c>
      <c r="K47" s="79" t="s">
        <v>113</v>
      </c>
      <c r="L47" s="75" t="s">
        <v>114</v>
      </c>
      <c r="M47" s="76">
        <v>2011</v>
      </c>
      <c r="N47" s="75" t="s">
        <v>115</v>
      </c>
      <c r="O47" s="79" t="s">
        <v>65</v>
      </c>
      <c r="P47" s="75" t="s">
        <v>135</v>
      </c>
      <c r="Q47" s="76">
        <v>2010</v>
      </c>
      <c r="R47" s="75" t="s">
        <v>79</v>
      </c>
      <c r="S47" s="75" t="s">
        <v>1</v>
      </c>
      <c r="T47" s="75" t="s">
        <v>136</v>
      </c>
      <c r="U47" s="76">
        <v>2009</v>
      </c>
      <c r="V47" s="75" t="s">
        <v>81</v>
      </c>
      <c r="W47" s="75">
        <v>2009</v>
      </c>
      <c r="X47" s="75" t="s">
        <v>82</v>
      </c>
      <c r="Y47" s="75" t="s">
        <v>74</v>
      </c>
      <c r="Z47" s="75" t="s">
        <v>137</v>
      </c>
      <c r="AA47" s="76">
        <v>2008</v>
      </c>
      <c r="AB47" s="75" t="s">
        <v>84</v>
      </c>
      <c r="AC47" s="75">
        <v>2008</v>
      </c>
      <c r="AD47" s="75" t="s">
        <v>85</v>
      </c>
    </row>
    <row r="48" spans="1:30" ht="15.75" customHeight="1">
      <c r="A48" s="179" t="s">
        <v>23</v>
      </c>
      <c r="B48" s="180"/>
      <c r="C48" s="11">
        <f t="shared" ref="C48:D50" si="10">K48</f>
        <v>44035</v>
      </c>
      <c r="D48" s="11">
        <f t="shared" si="10"/>
        <v>0</v>
      </c>
      <c r="E48" s="12">
        <f>(D48/C48)</f>
        <v>0</v>
      </c>
      <c r="F48" s="11">
        <f>+G48-D48</f>
        <v>33026.25</v>
      </c>
      <c r="G48" s="14">
        <f>C48*0.75</f>
        <v>33026.25</v>
      </c>
      <c r="H48" s="24">
        <f>C48-D48</f>
        <v>44035</v>
      </c>
      <c r="I48" s="1">
        <v>0.75</v>
      </c>
      <c r="J48" s="65" t="str">
        <f>A48</f>
        <v>Conservation</v>
      </c>
      <c r="K48" s="129">
        <v>44035</v>
      </c>
      <c r="L48" s="129">
        <v>0</v>
      </c>
      <c r="M48" s="131">
        <f>L48/K48</f>
        <v>0</v>
      </c>
      <c r="N48" s="13">
        <f>K48-L48</f>
        <v>44035</v>
      </c>
      <c r="O48" s="13">
        <v>44035</v>
      </c>
      <c r="P48" s="13">
        <v>1783.36</v>
      </c>
      <c r="Q48" s="80">
        <f>(P48/O48)</f>
        <v>4.0498694220506413E-2</v>
      </c>
      <c r="R48" s="13">
        <f>O48-P48</f>
        <v>42251.64</v>
      </c>
      <c r="S48" s="13">
        <f>'FY 2009 Exp 01-06-10'!C2</f>
        <v>44035</v>
      </c>
      <c r="T48" s="13">
        <f>SUM('FY 2009 Exp 01-06-10'!F2:N2)</f>
        <v>34213.74</v>
      </c>
      <c r="U48" s="80">
        <f>T48/S48</f>
        <v>0.77696695810151006</v>
      </c>
      <c r="V48" s="13">
        <f>'FY 2009 Exp 01-06-10'!D2</f>
        <v>217718</v>
      </c>
      <c r="W48" s="80">
        <f>T48/V48</f>
        <v>0.1571470434231437</v>
      </c>
      <c r="X48" s="13">
        <f>S48-T48</f>
        <v>9821.260000000002</v>
      </c>
      <c r="Y48" s="13">
        <f>'FY 2008 Exp 01-06-10'!C2</f>
        <v>44035</v>
      </c>
      <c r="Z48" s="13">
        <f>SUM('FY 2008 Exp 01-06-10'!F2:N2)</f>
        <v>53422.19</v>
      </c>
      <c r="AA48" s="80">
        <f>Z48/Y48</f>
        <v>1.2131756557283979</v>
      </c>
      <c r="AB48" s="13">
        <f>'FY 2008 Exp 01-06-10'!D2</f>
        <v>401290</v>
      </c>
      <c r="AC48" s="80">
        <f>Z48/AB48</f>
        <v>0.133126143188218</v>
      </c>
      <c r="AD48" s="13">
        <f>Y48-Z48</f>
        <v>-9387.1900000000023</v>
      </c>
    </row>
    <row r="49" spans="1:30" ht="15.75" customHeight="1">
      <c r="A49" s="179" t="s">
        <v>102</v>
      </c>
      <c r="B49" s="180"/>
      <c r="C49" s="22">
        <f t="shared" si="10"/>
        <v>19188923</v>
      </c>
      <c r="D49" s="22">
        <f t="shared" si="10"/>
        <v>11472125</v>
      </c>
      <c r="E49" s="12">
        <f>(D49/C49)</f>
        <v>0.59785142709676831</v>
      </c>
      <c r="F49" s="28">
        <f>+G49-D49</f>
        <v>2919567.25</v>
      </c>
      <c r="G49" s="14">
        <f>C49*0.75</f>
        <v>14391692.25</v>
      </c>
      <c r="H49" s="25">
        <f>C49-D49</f>
        <v>7716798</v>
      </c>
      <c r="I49" s="1">
        <v>0.75</v>
      </c>
      <c r="J49" s="65" t="str">
        <f>A49</f>
        <v>Public Transport</v>
      </c>
      <c r="K49" s="129">
        <v>19188923</v>
      </c>
      <c r="L49" s="129">
        <v>11472125</v>
      </c>
      <c r="M49" s="131">
        <f>L49/K49</f>
        <v>0.59785142709676831</v>
      </c>
      <c r="N49" s="81">
        <f>K49-L49</f>
        <v>7716798</v>
      </c>
      <c r="O49" s="81">
        <v>19347332</v>
      </c>
      <c r="P49" s="81">
        <v>12130895.800000001</v>
      </c>
      <c r="Q49" s="80">
        <f>(P49/O49)</f>
        <v>0.62700613190490562</v>
      </c>
      <c r="R49" s="81">
        <f>O49-P49</f>
        <v>7216436.1999999993</v>
      </c>
      <c r="S49" s="81">
        <f>'FY 2009 Exp 01-06-10'!C4</f>
        <v>19861346</v>
      </c>
      <c r="T49" s="81">
        <f>SUM('FY 2009 Exp 01-06-10'!F4:N4)</f>
        <v>10227779.729999999</v>
      </c>
      <c r="U49" s="80">
        <f>T49/S49</f>
        <v>0.51495904305780682</v>
      </c>
      <c r="V49" s="81">
        <f>'FY 2009 Exp 01-06-10'!D4</f>
        <v>23302893</v>
      </c>
      <c r="W49" s="80">
        <f>T49/V49</f>
        <v>0.43890600750730813</v>
      </c>
      <c r="X49" s="13">
        <f>S49-T49</f>
        <v>9633566.2700000014</v>
      </c>
      <c r="Y49" s="81">
        <f>'FY 2008 Exp 01-06-10'!C4</f>
        <v>17022879</v>
      </c>
      <c r="Z49" s="81">
        <f>SUM('FY 2008 Exp 01-06-10'!F4:N4)</f>
        <v>9440688.6899999995</v>
      </c>
      <c r="AA49" s="80">
        <f>Z49/Y49</f>
        <v>0.55458825090632435</v>
      </c>
      <c r="AB49" s="81">
        <f>'FY 2008 Exp 01-06-10'!C4</f>
        <v>17022879</v>
      </c>
      <c r="AC49" s="80">
        <f>Z49/AB49</f>
        <v>0.55458825090632435</v>
      </c>
      <c r="AD49" s="13">
        <f>Y49-Z49</f>
        <v>7582190.3100000005</v>
      </c>
    </row>
    <row r="50" spans="1:30" ht="15.75" customHeight="1" thickBot="1">
      <c r="A50" s="179" t="s">
        <v>24</v>
      </c>
      <c r="B50" s="180"/>
      <c r="C50" s="22">
        <f t="shared" si="10"/>
        <v>0</v>
      </c>
      <c r="D50" s="22">
        <f t="shared" si="10"/>
        <v>0</v>
      </c>
      <c r="E50" s="12">
        <v>0</v>
      </c>
      <c r="F50" s="28">
        <f>+G50-D50</f>
        <v>0</v>
      </c>
      <c r="G50" s="14">
        <f>C50*0.75</f>
        <v>0</v>
      </c>
      <c r="H50" s="25">
        <f>C50-D50</f>
        <v>0</v>
      </c>
      <c r="I50" s="1">
        <v>0.75</v>
      </c>
      <c r="J50" s="65" t="str">
        <f>A50</f>
        <v>Transfers</v>
      </c>
      <c r="K50" s="130">
        <v>0</v>
      </c>
      <c r="L50" s="130">
        <v>0</v>
      </c>
      <c r="M50" s="131" t="e">
        <f>L50/K50</f>
        <v>#DIV/0!</v>
      </c>
      <c r="N50" s="83">
        <f>K50-L50</f>
        <v>0</v>
      </c>
      <c r="O50" s="83">
        <v>0</v>
      </c>
      <c r="P50" s="83">
        <v>0</v>
      </c>
      <c r="Q50" s="77" t="e">
        <f>(P50/O50)</f>
        <v>#DIV/0!</v>
      </c>
      <c r="R50" s="83">
        <f>O50-P50</f>
        <v>0</v>
      </c>
      <c r="S50" s="83">
        <f>'FY 2009 Exp 01-06-10'!C5</f>
        <v>0</v>
      </c>
      <c r="T50" s="83">
        <f>SUM('FY 2009 Exp 01-06-10'!F5:N5)</f>
        <v>433900</v>
      </c>
      <c r="U50" s="77" t="e">
        <f>T50/S50</f>
        <v>#DIV/0!</v>
      </c>
      <c r="V50" s="83">
        <f>'FY 2009 Exp 01-06-10'!D5</f>
        <v>433900</v>
      </c>
      <c r="W50" s="77">
        <f>T50/V50</f>
        <v>1</v>
      </c>
      <c r="X50" s="84">
        <f>S50-T50</f>
        <v>-433900</v>
      </c>
      <c r="Y50" s="83">
        <f>'FY 2008 Exp 01-06-10'!C5</f>
        <v>0</v>
      </c>
      <c r="Z50" s="83">
        <f>SUM('FY 2008 Exp 01-06-10'!F5:N5)</f>
        <v>0</v>
      </c>
      <c r="AA50" s="77" t="e">
        <f>Z50/Y50</f>
        <v>#DIV/0!</v>
      </c>
      <c r="AB50" s="83">
        <f>'FY 2008 Exp 01-06-10'!C5</f>
        <v>0</v>
      </c>
      <c r="AC50" s="77" t="e">
        <f>Z50/AB50</f>
        <v>#DIV/0!</v>
      </c>
      <c r="AD50" s="84">
        <f>Y50-Z50</f>
        <v>0</v>
      </c>
    </row>
    <row r="51" spans="1:30" ht="15.75" customHeight="1" thickBot="1">
      <c r="A51" s="181" t="s">
        <v>22</v>
      </c>
      <c r="B51" s="182"/>
      <c r="C51" s="20">
        <f>SUM(C48:C50)</f>
        <v>19232958</v>
      </c>
      <c r="D51" s="20">
        <f>SUM(D48:D50)</f>
        <v>11472125</v>
      </c>
      <c r="E51" s="12">
        <f>(D51/C51)</f>
        <v>0.59648261073517661</v>
      </c>
      <c r="F51" s="13">
        <f>+G51-D51</f>
        <v>2952593.5</v>
      </c>
      <c r="G51" s="14">
        <f>C51*0.75</f>
        <v>14424718.5</v>
      </c>
      <c r="J51" s="50"/>
      <c r="K51" s="82">
        <f>SUM(K48:K50)</f>
        <v>19232958</v>
      </c>
      <c r="L51" s="82">
        <f>SUM(L48:L50)</f>
        <v>11472125</v>
      </c>
      <c r="M51" s="132">
        <f>L51/K51</f>
        <v>0.59648261073517661</v>
      </c>
      <c r="N51" s="82">
        <f>SUM(N48:N50)</f>
        <v>7760833</v>
      </c>
      <c r="O51" s="82">
        <f>SUM(O48:O50)</f>
        <v>19391367</v>
      </c>
      <c r="P51" s="82">
        <f>SUM(P48:P50)</f>
        <v>12132679.16</v>
      </c>
      <c r="Q51" s="78">
        <f>(P51/O51)</f>
        <v>0.62567425803451604</v>
      </c>
      <c r="R51" s="82">
        <f>SUM(R48:R50)</f>
        <v>7258687.8399999989</v>
      </c>
      <c r="S51" s="82">
        <f>SUM(S48:S50)</f>
        <v>19905381</v>
      </c>
      <c r="T51" s="82">
        <f>SUM(T48:T50)</f>
        <v>10695893.469999999</v>
      </c>
      <c r="U51" s="78">
        <f>T51/S51</f>
        <v>0.53733678697232667</v>
      </c>
      <c r="V51" s="82">
        <f>SUM(V48:V50)</f>
        <v>23954511</v>
      </c>
      <c r="W51" s="78">
        <f>T51/V51</f>
        <v>0.4465085290198576</v>
      </c>
      <c r="X51" s="82">
        <f>SUM(X48:X50)</f>
        <v>9209487.5300000012</v>
      </c>
      <c r="Y51" s="82">
        <f>SUM(Y48:Y50)</f>
        <v>17066914</v>
      </c>
      <c r="Z51" s="82">
        <f>SUM(Z48:Z50)</f>
        <v>9494110.879999999</v>
      </c>
      <c r="AA51" s="78">
        <f>Z51/Y51</f>
        <v>0.55628749755228146</v>
      </c>
      <c r="AB51" s="82">
        <f>SUM(AB48:AB50)</f>
        <v>17424169</v>
      </c>
      <c r="AC51" s="78">
        <f>Z51/AB51</f>
        <v>0.54488170311020279</v>
      </c>
      <c r="AD51" s="82">
        <f>SUM(AD48:AD50)</f>
        <v>7572803.1200000001</v>
      </c>
    </row>
    <row r="52" spans="1:30" ht="15.75" customHeight="1" thickTop="1">
      <c r="A52" s="134"/>
      <c r="B52" s="134"/>
      <c r="C52" s="135"/>
      <c r="D52" s="135"/>
      <c r="E52" s="136"/>
      <c r="F52" s="23"/>
      <c r="G52" s="14"/>
      <c r="J52" s="50"/>
      <c r="K52" s="137"/>
      <c r="L52" s="137"/>
      <c r="M52" s="138"/>
      <c r="N52" s="24"/>
      <c r="O52" s="24"/>
      <c r="P52" s="24"/>
      <c r="Q52" s="136"/>
      <c r="R52" s="24"/>
      <c r="S52" s="24"/>
      <c r="T52" s="24"/>
      <c r="U52" s="136"/>
      <c r="V52" s="24"/>
      <c r="W52" s="136"/>
      <c r="X52" s="24"/>
      <c r="Y52" s="24"/>
      <c r="Z52" s="24"/>
      <c r="AA52" s="136"/>
      <c r="AB52" s="24"/>
      <c r="AC52" s="136"/>
      <c r="AD52" s="24"/>
    </row>
  </sheetData>
  <mergeCells count="18">
    <mergeCell ref="A18:B18"/>
    <mergeCell ref="B3:D3"/>
    <mergeCell ref="A13:F13"/>
    <mergeCell ref="A14:F14"/>
    <mergeCell ref="A16:B16"/>
    <mergeCell ref="A17:B17"/>
    <mergeCell ref="A51:B51"/>
    <mergeCell ref="A19:B19"/>
    <mergeCell ref="A20:B20"/>
    <mergeCell ref="A21:B21"/>
    <mergeCell ref="A22:B22"/>
    <mergeCell ref="A23:B23"/>
    <mergeCell ref="A45:F45"/>
    <mergeCell ref="A46:F46"/>
    <mergeCell ref="A47:B47"/>
    <mergeCell ref="A48:B48"/>
    <mergeCell ref="A49:B49"/>
    <mergeCell ref="A50:B50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opLeftCell="H1" workbookViewId="0">
      <selection activeCell="V17" sqref="V17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7.12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2.5" style="2" bestFit="1" customWidth="1"/>
    <col min="12" max="12" width="10.25" style="2" bestFit="1" customWidth="1"/>
    <col min="13" max="14" width="11.5" style="2" customWidth="1"/>
    <col min="15" max="15" width="11.125" style="2" bestFit="1" customWidth="1"/>
    <col min="16" max="16" width="13.25" style="2" bestFit="1" customWidth="1"/>
    <col min="17" max="17" width="12.75" style="2" customWidth="1"/>
    <col min="18" max="18" width="12.5" style="2" bestFit="1" customWidth="1"/>
    <col min="19" max="19" width="11.25" style="2" customWidth="1"/>
    <col min="20" max="20" width="12.5" style="2" bestFit="1" customWidth="1"/>
    <col min="21" max="21" width="11.125" style="2" bestFit="1" customWidth="1"/>
    <col min="22" max="22" width="15.875" style="2" customWidth="1"/>
    <col min="23" max="23" width="10.75" style="2" customWidth="1"/>
    <col min="24" max="24" width="13.625" style="2" customWidth="1"/>
    <col min="25" max="25" width="11.875" style="2" customWidth="1"/>
    <col min="26" max="26" width="12.5" style="2" bestFit="1" customWidth="1"/>
    <col min="27" max="27" width="11.5" style="2" customWidth="1"/>
    <col min="28" max="28" width="11" style="2" customWidth="1"/>
    <col min="29" max="29" width="9" style="2"/>
    <col min="30" max="30" width="14" style="2" customWidth="1"/>
    <col min="31" max="16384" width="9" style="2"/>
  </cols>
  <sheetData>
    <row r="1" spans="1:24" ht="15.95" customHeight="1">
      <c r="E1" s="3"/>
      <c r="F1" s="3" t="s">
        <v>17</v>
      </c>
    </row>
    <row r="2" spans="1:24" ht="15.95" customHeight="1">
      <c r="E2" s="3"/>
      <c r="F2" s="3" t="s">
        <v>36</v>
      </c>
    </row>
    <row r="3" spans="1:24" ht="15.95" customHeight="1">
      <c r="B3" s="175" t="s">
        <v>30</v>
      </c>
      <c r="C3" s="175"/>
      <c r="D3" s="175"/>
      <c r="E3" s="3"/>
      <c r="F3" s="3" t="s">
        <v>37</v>
      </c>
    </row>
    <row r="4" spans="1:24" ht="15.95" customHeight="1">
      <c r="E4" s="3"/>
      <c r="F4" s="3" t="s">
        <v>38</v>
      </c>
    </row>
    <row r="5" spans="1:24" ht="15.95" customHeight="1">
      <c r="E5" s="3"/>
      <c r="F5" s="3" t="s">
        <v>18</v>
      </c>
    </row>
    <row r="6" spans="1:24" ht="15.75">
      <c r="A6" s="4"/>
      <c r="B6" s="4"/>
      <c r="C6" s="4"/>
      <c r="D6" s="5"/>
      <c r="E6" s="5"/>
      <c r="F6" s="4"/>
    </row>
    <row r="7" spans="1:24" ht="15.75">
      <c r="D7" s="3"/>
      <c r="E7" s="3"/>
    </row>
    <row r="8" spans="1:24" ht="19.5" customHeight="1">
      <c r="A8" s="6" t="s">
        <v>25</v>
      </c>
      <c r="B8" s="7" t="s">
        <v>26</v>
      </c>
    </row>
    <row r="9" spans="1:24" ht="19.5" customHeight="1">
      <c r="A9" s="6" t="s">
        <v>27</v>
      </c>
      <c r="B9" s="7" t="s">
        <v>64</v>
      </c>
    </row>
    <row r="10" spans="1:24" ht="19.5" customHeight="1">
      <c r="A10" s="6" t="s">
        <v>28</v>
      </c>
      <c r="B10" s="8">
        <v>40648</v>
      </c>
    </row>
    <row r="11" spans="1:24" ht="19.5" customHeight="1">
      <c r="A11" s="6" t="s">
        <v>29</v>
      </c>
      <c r="B11" s="7" t="s">
        <v>120</v>
      </c>
    </row>
    <row r="12" spans="1:24" ht="19.5" customHeight="1">
      <c r="A12" s="6"/>
      <c r="B12" s="7"/>
    </row>
    <row r="13" spans="1:24" ht="30.75" customHeight="1">
      <c r="A13" s="184"/>
      <c r="B13" s="184"/>
      <c r="C13" s="184"/>
      <c r="D13" s="184"/>
      <c r="E13" s="184"/>
      <c r="F13" s="184"/>
    </row>
    <row r="14" spans="1:24" ht="31.5" customHeight="1">
      <c r="A14" s="183" t="s">
        <v>87</v>
      </c>
      <c r="B14" s="183"/>
      <c r="C14" s="183"/>
      <c r="D14" s="183"/>
      <c r="E14" s="183"/>
      <c r="F14" s="183"/>
    </row>
    <row r="15" spans="1:24">
      <c r="K15" s="64"/>
      <c r="L15" s="64"/>
      <c r="M15" s="64"/>
      <c r="N15" s="64"/>
    </row>
    <row r="16" spans="1:24" ht="38.25">
      <c r="A16" s="185"/>
      <c r="B16" s="185"/>
      <c r="C16" s="9" t="s">
        <v>113</v>
      </c>
      <c r="D16" s="9" t="s">
        <v>121</v>
      </c>
      <c r="E16" s="9" t="s">
        <v>19</v>
      </c>
      <c r="F16" s="9" t="s">
        <v>91</v>
      </c>
      <c r="G16" s="10">
        <v>0.5</v>
      </c>
      <c r="H16" s="2" t="s">
        <v>31</v>
      </c>
      <c r="I16" s="10">
        <v>0.5</v>
      </c>
      <c r="K16" s="9" t="s">
        <v>110</v>
      </c>
      <c r="L16" s="9" t="s">
        <v>111</v>
      </c>
      <c r="M16" s="9">
        <v>2011</v>
      </c>
      <c r="N16" s="9" t="s">
        <v>65</v>
      </c>
      <c r="O16" s="9" t="s">
        <v>123</v>
      </c>
      <c r="P16" s="9">
        <v>2010</v>
      </c>
      <c r="Q16" s="9" t="s">
        <v>1</v>
      </c>
      <c r="R16" s="9" t="s">
        <v>124</v>
      </c>
      <c r="S16" s="9" t="s">
        <v>76</v>
      </c>
      <c r="T16" s="9">
        <v>2009</v>
      </c>
      <c r="U16" s="9" t="s">
        <v>74</v>
      </c>
      <c r="V16" s="9" t="s">
        <v>125</v>
      </c>
      <c r="W16" s="9" t="s">
        <v>77</v>
      </c>
      <c r="X16" s="9">
        <v>2008</v>
      </c>
    </row>
    <row r="17" spans="1:24" ht="15.75" customHeight="1">
      <c r="A17" s="186" t="s">
        <v>20</v>
      </c>
      <c r="B17" s="186"/>
      <c r="C17" s="11">
        <f t="shared" ref="C17:D22" si="0">K17</f>
        <v>0</v>
      </c>
      <c r="D17" s="11">
        <f t="shared" si="0"/>
        <v>0</v>
      </c>
      <c r="E17" s="139" t="s">
        <v>117</v>
      </c>
      <c r="F17" s="29">
        <f t="shared" ref="F17:F22" si="1">D17-G17</f>
        <v>0</v>
      </c>
      <c r="G17" s="14">
        <f>C17*0.5</f>
        <v>0</v>
      </c>
      <c r="H17" s="15">
        <f t="shared" ref="H17:H22" si="2">C17-D17</f>
        <v>0</v>
      </c>
      <c r="I17" s="10">
        <v>0.5</v>
      </c>
      <c r="J17" s="21" t="str">
        <f t="shared" ref="J17:J22" si="3">A17</f>
        <v>Current / Delinquent Taxes</v>
      </c>
      <c r="K17" s="129">
        <v>0</v>
      </c>
      <c r="L17" s="129">
        <v>0</v>
      </c>
      <c r="M17" s="12" t="e">
        <f t="shared" ref="M17:M23" si="4">(L17/K17)</f>
        <v>#DIV/0!</v>
      </c>
      <c r="N17" s="11">
        <v>4337995</v>
      </c>
      <c r="O17" s="11">
        <v>4196940.17</v>
      </c>
      <c r="P17" s="12">
        <f t="shared" ref="P17:P23" si="5">(O17/N17)</f>
        <v>0.96748386524189167</v>
      </c>
      <c r="Q17" s="11">
        <f>'FY 2009 Rev 01-15-10'!E3</f>
        <v>4070011</v>
      </c>
      <c r="R17" s="11">
        <f>SUM('FY 2009 Rev 01-15-10'!F3:K3)</f>
        <v>3954561.81</v>
      </c>
      <c r="S17" s="11">
        <f>'FY 2009 Rev 01-15-10'!D3</f>
        <v>4095648.34</v>
      </c>
      <c r="T17" s="12">
        <f t="shared" ref="T17:T23" si="6">R17/S17</f>
        <v>0.96555208887880262</v>
      </c>
      <c r="U17" s="11">
        <f>'FY 2008 Rev 01-15-10'!E3</f>
        <v>762480</v>
      </c>
      <c r="V17" s="11">
        <f>SUM('FY 2008 Rev 01-15-10'!F3:K3)</f>
        <v>756404.02</v>
      </c>
      <c r="W17" s="11">
        <f>'FY 2008 Rev 01-15-10'!D3</f>
        <v>788839.59</v>
      </c>
      <c r="X17" s="12">
        <f t="shared" ref="X17:X23" si="7">V17/W17</f>
        <v>0.95888191919982113</v>
      </c>
    </row>
    <row r="18" spans="1:24" ht="15.75" customHeight="1">
      <c r="A18" s="186" t="s">
        <v>66</v>
      </c>
      <c r="B18" s="186"/>
      <c r="C18" s="22">
        <f t="shared" si="0"/>
        <v>2000</v>
      </c>
      <c r="D18" s="22">
        <f t="shared" si="0"/>
        <v>684</v>
      </c>
      <c r="E18" s="12">
        <f t="shared" ref="E18:E23" si="8">(D18/C18)</f>
        <v>0.34200000000000003</v>
      </c>
      <c r="F18" s="22">
        <f>D18-G18</f>
        <v>-316</v>
      </c>
      <c r="G18" s="14">
        <f t="shared" ref="G18:G23" si="9">C18*0.5</f>
        <v>1000</v>
      </c>
      <c r="H18" s="15">
        <f t="shared" si="2"/>
        <v>1316</v>
      </c>
      <c r="I18" s="10">
        <v>0.5</v>
      </c>
      <c r="J18" s="21" t="str">
        <f t="shared" si="3"/>
        <v>License / Permits</v>
      </c>
      <c r="K18" s="129">
        <v>2000</v>
      </c>
      <c r="L18" s="129">
        <v>684</v>
      </c>
      <c r="M18" s="12">
        <f t="shared" si="4"/>
        <v>0.34200000000000003</v>
      </c>
      <c r="N18" s="16">
        <v>1854</v>
      </c>
      <c r="O18" s="28">
        <v>630</v>
      </c>
      <c r="P18" s="12">
        <f t="shared" si="5"/>
        <v>0.33980582524271846</v>
      </c>
      <c r="Q18" s="28">
        <f>'FY 2009 Rev 01-15-10'!E5</f>
        <v>3000</v>
      </c>
      <c r="R18" s="28">
        <f>SUM('FY 2009 Rev 01-15-10'!F5:K5)</f>
        <v>900</v>
      </c>
      <c r="S18" s="28">
        <f>'FY 2009 Rev 01-15-10'!D5</f>
        <v>1476</v>
      </c>
      <c r="T18" s="12">
        <f t="shared" si="6"/>
        <v>0.6097560975609756</v>
      </c>
      <c r="U18" s="28">
        <f>'FY 2008 Rev 01-15-10'!E5</f>
        <v>7500</v>
      </c>
      <c r="V18" s="28">
        <f>SUM('FY 2008 Rev 01-15-10'!F5:K5)</f>
        <v>1260</v>
      </c>
      <c r="W18" s="28">
        <f>'FY 2008 Rev 01-15-10'!D5</f>
        <v>3209</v>
      </c>
      <c r="X18" s="12">
        <f t="shared" si="7"/>
        <v>0.39264568401371142</v>
      </c>
    </row>
    <row r="19" spans="1:24" ht="24.75" customHeight="1">
      <c r="A19" s="186" t="s">
        <v>2</v>
      </c>
      <c r="B19" s="186"/>
      <c r="C19" s="22">
        <f t="shared" si="0"/>
        <v>13169000</v>
      </c>
      <c r="D19" s="22">
        <f t="shared" si="0"/>
        <v>5652315</v>
      </c>
      <c r="E19" s="12">
        <f t="shared" si="8"/>
        <v>0.42921368365099855</v>
      </c>
      <c r="F19" s="22">
        <f t="shared" si="1"/>
        <v>-932185</v>
      </c>
      <c r="G19" s="14">
        <f t="shared" si="9"/>
        <v>6584500</v>
      </c>
      <c r="H19" s="27">
        <f t="shared" si="2"/>
        <v>7516685</v>
      </c>
      <c r="I19" s="10">
        <v>0.5</v>
      </c>
      <c r="J19" s="21" t="str">
        <f t="shared" si="3"/>
        <v>Fees/Charges for Services</v>
      </c>
      <c r="K19" s="129">
        <v>13169000</v>
      </c>
      <c r="L19" s="129">
        <f>125659+5526656</f>
        <v>5652315</v>
      </c>
      <c r="M19" s="12">
        <f t="shared" si="4"/>
        <v>0.42921368365099855</v>
      </c>
      <c r="N19" s="16">
        <v>12094490</v>
      </c>
      <c r="O19" s="28">
        <v>5724813.4099999992</v>
      </c>
      <c r="P19" s="12">
        <f t="shared" si="5"/>
        <v>0.47334062122503712</v>
      </c>
      <c r="Q19" s="28">
        <f>'FY 2009 Rev 01-15-10'!E10</f>
        <v>11806400</v>
      </c>
      <c r="R19" s="28">
        <f>SUM('FY 2009 Rev 01-15-10'!F10:K10)</f>
        <v>6735300.7800000003</v>
      </c>
      <c r="S19" s="28">
        <f>'FY 2009 Rev 01-15-10'!D10</f>
        <v>13237833.390000001</v>
      </c>
      <c r="T19" s="12">
        <f t="shared" si="6"/>
        <v>0.50879177744357451</v>
      </c>
      <c r="U19" s="28">
        <f>'FY 2008 Rev 01-15-10'!E10</f>
        <v>11740700</v>
      </c>
      <c r="V19" s="28">
        <f>SUM('FY 2008 Rev 01-15-10'!F10:K10)</f>
        <v>7275137.5700000012</v>
      </c>
      <c r="W19" s="28">
        <f>'FY 2008 Rev 01-15-10'!D10</f>
        <v>13297241.34</v>
      </c>
      <c r="X19" s="12">
        <f t="shared" si="7"/>
        <v>0.54711630660679589</v>
      </c>
    </row>
    <row r="20" spans="1:24" ht="15.75" customHeight="1">
      <c r="A20" s="186" t="s">
        <v>4</v>
      </c>
      <c r="B20" s="186"/>
      <c r="C20" s="22">
        <f t="shared" si="0"/>
        <v>2066000</v>
      </c>
      <c r="D20" s="22">
        <f t="shared" si="0"/>
        <v>810059</v>
      </c>
      <c r="E20" s="12">
        <f t="shared" si="8"/>
        <v>0.39209051306873183</v>
      </c>
      <c r="F20" s="22">
        <f t="shared" si="1"/>
        <v>-222941</v>
      </c>
      <c r="G20" s="14">
        <f t="shared" si="9"/>
        <v>1033000</v>
      </c>
      <c r="H20" s="27">
        <f t="shared" si="2"/>
        <v>1255941</v>
      </c>
      <c r="I20" s="10">
        <v>0.5</v>
      </c>
      <c r="J20" s="21" t="str">
        <f t="shared" si="3"/>
        <v>Fines</v>
      </c>
      <c r="K20" s="129">
        <v>2066000</v>
      </c>
      <c r="L20" s="129">
        <v>810059</v>
      </c>
      <c r="M20" s="12">
        <f t="shared" si="4"/>
        <v>0.39209051306873183</v>
      </c>
      <c r="N20" s="16">
        <v>2295355</v>
      </c>
      <c r="O20" s="28">
        <v>853428.09</v>
      </c>
      <c r="P20" s="12">
        <f t="shared" si="5"/>
        <v>0.37180657893876978</v>
      </c>
      <c r="Q20" s="28">
        <f>'FY 2009 Rev 01-15-10'!E12</f>
        <v>1904500</v>
      </c>
      <c r="R20" s="28">
        <f>SUM('FY 2009 Rev 01-15-10'!F12:K12)</f>
        <v>1065360.77</v>
      </c>
      <c r="S20" s="28">
        <f>'FY 2009 Rev 01-15-10'!D12</f>
        <v>2213669.08</v>
      </c>
      <c r="T20" s="12">
        <f t="shared" si="6"/>
        <v>0.48126469291426338</v>
      </c>
      <c r="U20" s="28">
        <f>'FY 2008 Rev 01-15-10'!E12</f>
        <v>2042325</v>
      </c>
      <c r="V20" s="28">
        <f>SUM('FY 2008 Rev 01-15-10'!F12:K12)</f>
        <v>382505.06000000006</v>
      </c>
      <c r="W20" s="28">
        <f>'FY 2008 Rev 01-15-10'!D12</f>
        <v>2340429.91</v>
      </c>
      <c r="X20" s="12">
        <f t="shared" si="7"/>
        <v>0.1634336744568437</v>
      </c>
    </row>
    <row r="21" spans="1:24" ht="15.75" customHeight="1">
      <c r="A21" s="186" t="s">
        <v>3</v>
      </c>
      <c r="B21" s="186"/>
      <c r="C21" s="22">
        <f t="shared" si="0"/>
        <v>120000</v>
      </c>
      <c r="D21" s="22">
        <f t="shared" si="0"/>
        <v>94928</v>
      </c>
      <c r="E21" s="12">
        <f t="shared" si="8"/>
        <v>0.7910666666666667</v>
      </c>
      <c r="F21" s="22">
        <f t="shared" si="1"/>
        <v>34928</v>
      </c>
      <c r="G21" s="14">
        <f t="shared" si="9"/>
        <v>60000</v>
      </c>
      <c r="H21" s="27">
        <f t="shared" si="2"/>
        <v>25072</v>
      </c>
      <c r="I21" s="10">
        <v>0.5</v>
      </c>
      <c r="J21" s="21" t="str">
        <f t="shared" si="3"/>
        <v>Investment Revenue</v>
      </c>
      <c r="K21" s="129">
        <v>120000</v>
      </c>
      <c r="L21" s="129">
        <v>94928</v>
      </c>
      <c r="M21" s="12">
        <f t="shared" si="4"/>
        <v>0.7910666666666667</v>
      </c>
      <c r="N21" s="16">
        <v>280881</v>
      </c>
      <c r="O21" s="28">
        <v>93456.47</v>
      </c>
      <c r="P21" s="12">
        <f t="shared" si="5"/>
        <v>0.33272620789587048</v>
      </c>
      <c r="Q21" s="28">
        <f>'FY 2009 Rev 01-15-10'!E14</f>
        <v>305000</v>
      </c>
      <c r="R21" s="28">
        <f>SUM('FY 2009 Rev 01-15-10'!F14:K14)</f>
        <v>142656.41999999998</v>
      </c>
      <c r="S21" s="28">
        <f>'FY 2009 Rev 01-15-10'!D14</f>
        <v>284617.61</v>
      </c>
      <c r="T21" s="12">
        <f t="shared" si="6"/>
        <v>0.50122134045043798</v>
      </c>
      <c r="U21" s="28">
        <f>'FY 2008 Rev 01-15-10'!E14</f>
        <v>572500</v>
      </c>
      <c r="V21" s="28">
        <f>SUM('FY 2008 Rev 01-15-10'!F14:K14)</f>
        <v>224414.43</v>
      </c>
      <c r="W21" s="28">
        <f>'FY 2008 Rev 01-15-10'!D14</f>
        <v>457042.89</v>
      </c>
      <c r="X21" s="12">
        <f t="shared" si="7"/>
        <v>0.49101393963266771</v>
      </c>
    </row>
    <row r="22" spans="1:24" ht="15.75" customHeight="1" thickBot="1">
      <c r="A22" s="186" t="s">
        <v>21</v>
      </c>
      <c r="B22" s="186"/>
      <c r="C22" s="22">
        <f t="shared" si="0"/>
        <v>25000</v>
      </c>
      <c r="D22" s="22">
        <f t="shared" si="0"/>
        <v>3904</v>
      </c>
      <c r="E22" s="12">
        <f t="shared" si="8"/>
        <v>0.15615999999999999</v>
      </c>
      <c r="F22" s="22">
        <f t="shared" si="1"/>
        <v>-8596</v>
      </c>
      <c r="G22" s="14">
        <f t="shared" si="9"/>
        <v>12500</v>
      </c>
      <c r="H22" s="27">
        <f t="shared" si="2"/>
        <v>21096</v>
      </c>
      <c r="I22" s="10">
        <v>0.5</v>
      </c>
      <c r="J22" s="21" t="str">
        <f t="shared" si="3"/>
        <v>Miscellaneous</v>
      </c>
      <c r="K22" s="130">
        <f>15000+10000</f>
        <v>25000</v>
      </c>
      <c r="L22" s="130">
        <v>3904</v>
      </c>
      <c r="M22" s="127">
        <f t="shared" si="4"/>
        <v>0.15615999999999999</v>
      </c>
      <c r="N22" s="52">
        <v>25400</v>
      </c>
      <c r="O22" s="53">
        <v>37758.550000000003</v>
      </c>
      <c r="P22" s="77">
        <f t="shared" si="5"/>
        <v>1.4865570866141733</v>
      </c>
      <c r="Q22" s="53">
        <f>'FY 2009 Rev 01-15-10'!E16+'FY 2009 Rev 01-15-10'!E18+'FY 2009 Rev 01-15-10'!E20</f>
        <v>117000</v>
      </c>
      <c r="R22" s="53">
        <f>SUM('FY 2009 Rev 01-15-10'!F16:K16,'FY 2009 Rev 01-15-10'!F18:K18,'FY 2009 Rev 01-15-10'!F20:K20)</f>
        <v>14288.72</v>
      </c>
      <c r="S22" s="53">
        <f>'FY 2009 Rev 01-15-10'!D16+'FY 2009 Rev 01-15-10'!D18+'FY 2009 Rev 01-15-10'!D20</f>
        <v>65838.240000000005</v>
      </c>
      <c r="T22" s="77">
        <f t="shared" si="6"/>
        <v>0.21702767267168743</v>
      </c>
      <c r="U22" s="53">
        <f>'FY 2008 Rev 01-15-10'!E16+'FY 2008 Rev 01-15-10'!E18+'FY 2008 Rev 01-15-10'!E20</f>
        <v>90000</v>
      </c>
      <c r="V22" s="53">
        <f>SUM('FY 2008 Rev 01-15-10'!F16:K16,'FY 2008 Rev 01-15-10'!F18:K18,'FY 2008 Rev 01-15-10'!F20:K20)</f>
        <v>318181.45999999996</v>
      </c>
      <c r="W22" s="53">
        <f>'FY 2008 Rev 01-15-10'!D16+'FY 2008 Rev 01-15-10'!D18+'FY 2008 Rev 01-15-10'!D20</f>
        <v>363410.55000000005</v>
      </c>
      <c r="X22" s="77">
        <f t="shared" si="7"/>
        <v>0.87554271608240297</v>
      </c>
    </row>
    <row r="23" spans="1:24" ht="15.75" customHeight="1" thickBot="1">
      <c r="A23" s="187" t="s">
        <v>22</v>
      </c>
      <c r="B23" s="187"/>
      <c r="C23" s="11">
        <f>SUM(C17:C22)</f>
        <v>15382000</v>
      </c>
      <c r="D23" s="11">
        <f>SUM(D17:D22)</f>
        <v>6561890</v>
      </c>
      <c r="E23" s="12">
        <f t="shared" si="8"/>
        <v>0.4265953712131062</v>
      </c>
      <c r="F23" s="17">
        <f>SUM(F17:F22)</f>
        <v>-1129110</v>
      </c>
      <c r="G23" s="14">
        <f t="shared" si="9"/>
        <v>7691000</v>
      </c>
      <c r="H23" s="27"/>
      <c r="J23" s="21"/>
      <c r="K23" s="128">
        <f>SUM(K17:K22)</f>
        <v>15382000</v>
      </c>
      <c r="L23" s="51">
        <f>SUM(L17:L22)</f>
        <v>6561890</v>
      </c>
      <c r="M23" s="126">
        <f t="shared" si="4"/>
        <v>0.4265953712131062</v>
      </c>
      <c r="N23" s="51">
        <f>SUM(N17:N22)</f>
        <v>19035975</v>
      </c>
      <c r="O23" s="51">
        <f>SUM(O17:O22)</f>
        <v>10907026.689999999</v>
      </c>
      <c r="P23" s="78">
        <f t="shared" si="5"/>
        <v>0.57296916443733503</v>
      </c>
      <c r="Q23" s="51">
        <f>SUM(Q17:Q22)</f>
        <v>18205911</v>
      </c>
      <c r="R23" s="51">
        <f>SUM(R17:R22)</f>
        <v>11913068.5</v>
      </c>
      <c r="S23" s="51">
        <f>SUM(S17:S22)</f>
        <v>19899082.66</v>
      </c>
      <c r="T23" s="78">
        <f t="shared" si="6"/>
        <v>0.59867425567043697</v>
      </c>
      <c r="U23" s="51">
        <f>SUM(U17:U22)</f>
        <v>15215505</v>
      </c>
      <c r="V23" s="51">
        <f>SUM(V17:V22)</f>
        <v>8957902.5400000028</v>
      </c>
      <c r="W23" s="51">
        <f>SUM(W17:W22)</f>
        <v>17250173.280000001</v>
      </c>
      <c r="X23" s="78">
        <f t="shared" si="7"/>
        <v>0.51929348155510247</v>
      </c>
    </row>
    <row r="24" spans="1:24" ht="22.5" customHeight="1" thickTop="1">
      <c r="J24" s="21"/>
      <c r="K24" s="26"/>
    </row>
    <row r="25" spans="1:24">
      <c r="J25" s="21"/>
      <c r="K25" s="26"/>
    </row>
    <row r="39" spans="1:30">
      <c r="J39" s="65"/>
      <c r="K39" s="65"/>
    </row>
    <row r="40" spans="1:30">
      <c r="J40" s="65"/>
      <c r="K40" s="65"/>
    </row>
    <row r="41" spans="1:30">
      <c r="J41" s="65"/>
      <c r="K41" s="65"/>
    </row>
    <row r="42" spans="1:30">
      <c r="J42" s="65"/>
      <c r="K42" s="65"/>
    </row>
    <row r="43" spans="1:30">
      <c r="J43" s="65"/>
      <c r="K43" s="65"/>
    </row>
    <row r="44" spans="1:30">
      <c r="J44" s="65"/>
      <c r="K44" s="65"/>
    </row>
    <row r="45" spans="1:30" ht="33" customHeight="1">
      <c r="A45" s="183" t="s">
        <v>88</v>
      </c>
      <c r="B45" s="183"/>
      <c r="C45" s="183"/>
      <c r="D45" s="183"/>
      <c r="E45" s="183"/>
      <c r="F45" s="183"/>
      <c r="J45" s="65"/>
      <c r="K45" s="65"/>
    </row>
    <row r="46" spans="1:30" ht="12" customHeight="1">
      <c r="B46" s="18"/>
      <c r="C46" s="18"/>
      <c r="D46" s="18"/>
      <c r="E46" s="18"/>
      <c r="J46" s="65"/>
      <c r="K46" s="65"/>
    </row>
    <row r="47" spans="1:30" ht="36" customHeight="1">
      <c r="A47" s="178"/>
      <c r="B47" s="178"/>
      <c r="C47" s="19" t="s">
        <v>113</v>
      </c>
      <c r="D47" s="19" t="s">
        <v>122</v>
      </c>
      <c r="E47" s="19" t="s">
        <v>19</v>
      </c>
      <c r="F47" s="9" t="s">
        <v>91</v>
      </c>
      <c r="G47" s="10">
        <v>0.5</v>
      </c>
      <c r="H47" s="2" t="s">
        <v>32</v>
      </c>
      <c r="K47" s="79" t="s">
        <v>113</v>
      </c>
      <c r="L47" s="75" t="s">
        <v>114</v>
      </c>
      <c r="M47" s="76">
        <v>2011</v>
      </c>
      <c r="N47" s="75" t="s">
        <v>115</v>
      </c>
      <c r="O47" s="79" t="s">
        <v>65</v>
      </c>
      <c r="P47" s="75" t="s">
        <v>128</v>
      </c>
      <c r="Q47" s="76">
        <v>2010</v>
      </c>
      <c r="R47" s="75" t="s">
        <v>79</v>
      </c>
      <c r="S47" s="75" t="s">
        <v>1</v>
      </c>
      <c r="T47" s="75" t="s">
        <v>127</v>
      </c>
      <c r="U47" s="76">
        <v>2009</v>
      </c>
      <c r="V47" s="75" t="s">
        <v>81</v>
      </c>
      <c r="W47" s="75">
        <v>2009</v>
      </c>
      <c r="X47" s="75" t="s">
        <v>82</v>
      </c>
      <c r="Y47" s="75" t="s">
        <v>74</v>
      </c>
      <c r="Z47" s="75" t="s">
        <v>126</v>
      </c>
      <c r="AA47" s="76">
        <v>2008</v>
      </c>
      <c r="AB47" s="75" t="s">
        <v>84</v>
      </c>
      <c r="AC47" s="75">
        <v>2008</v>
      </c>
      <c r="AD47" s="75" t="s">
        <v>85</v>
      </c>
    </row>
    <row r="48" spans="1:30" ht="15.75" customHeight="1">
      <c r="A48" s="179" t="s">
        <v>23</v>
      </c>
      <c r="B48" s="180"/>
      <c r="C48" s="11">
        <f t="shared" ref="C48:D50" si="10">K48</f>
        <v>44035</v>
      </c>
      <c r="D48" s="11">
        <f t="shared" si="10"/>
        <v>0</v>
      </c>
      <c r="E48" s="12">
        <f>(D48/C48)</f>
        <v>0</v>
      </c>
      <c r="F48" s="11">
        <f>+G48-D48</f>
        <v>22017.5</v>
      </c>
      <c r="G48" s="23">
        <f>C48*0.5</f>
        <v>22017.5</v>
      </c>
      <c r="H48" s="24">
        <f>C48-D48</f>
        <v>44035</v>
      </c>
      <c r="I48" s="1">
        <v>0.5</v>
      </c>
      <c r="J48" s="65" t="str">
        <f>A48</f>
        <v>Conservation</v>
      </c>
      <c r="K48" s="129">
        <v>44035</v>
      </c>
      <c r="L48" s="129">
        <v>0</v>
      </c>
      <c r="M48" s="131">
        <f>L48/K48</f>
        <v>0</v>
      </c>
      <c r="N48" s="13">
        <f>K48-L48</f>
        <v>44035</v>
      </c>
      <c r="O48" s="13">
        <v>44035</v>
      </c>
      <c r="P48" s="13">
        <v>1783.36</v>
      </c>
      <c r="Q48" s="80">
        <f>(P48/O48)</f>
        <v>4.0498694220506413E-2</v>
      </c>
      <c r="R48" s="13">
        <f>O48-P48</f>
        <v>42251.64</v>
      </c>
      <c r="S48" s="13">
        <f>'FY 2009 Exp 01-06-10'!C2</f>
        <v>44035</v>
      </c>
      <c r="T48" s="13" t="s">
        <v>166</v>
      </c>
      <c r="U48" s="80" t="e">
        <f>T48/S48</f>
        <v>#VALUE!</v>
      </c>
      <c r="V48" s="13">
        <f>'FY 2009 Exp 01-06-10'!D2</f>
        <v>217718</v>
      </c>
      <c r="W48" s="80" t="e">
        <f>T48/V48</f>
        <v>#VALUE!</v>
      </c>
      <c r="X48" s="13" t="e">
        <f>S48-T48</f>
        <v>#VALUE!</v>
      </c>
      <c r="Y48" s="13">
        <f>'FY 2008 Exp 01-06-10'!C2</f>
        <v>44035</v>
      </c>
      <c r="Z48" s="13">
        <f>SUM('FY 2008 Exp 01-06-10'!F2:K2)</f>
        <v>22262.080000000002</v>
      </c>
      <c r="AA48" s="80">
        <f>Z48/Y48</f>
        <v>0.50555421823549451</v>
      </c>
      <c r="AB48" s="13">
        <f>'FY 2008 Exp 01-06-10'!D2</f>
        <v>401290</v>
      </c>
      <c r="AC48" s="80">
        <f>Z48/AB48</f>
        <v>5.547628896807795E-2</v>
      </c>
      <c r="AD48" s="13">
        <f>Y48-Z48</f>
        <v>21772.92</v>
      </c>
    </row>
    <row r="49" spans="1:30" ht="15.75" customHeight="1">
      <c r="A49" s="179" t="s">
        <v>102</v>
      </c>
      <c r="B49" s="180"/>
      <c r="C49" s="22">
        <f t="shared" si="10"/>
        <v>19188923</v>
      </c>
      <c r="D49" s="22">
        <f t="shared" si="10"/>
        <v>7614979</v>
      </c>
      <c r="E49" s="12">
        <f>(D49/C49)</f>
        <v>0.39684243873405506</v>
      </c>
      <c r="F49" s="28">
        <f>+G49-D49</f>
        <v>1979482.5</v>
      </c>
      <c r="G49" s="23">
        <f>C49*0.5</f>
        <v>9594461.5</v>
      </c>
      <c r="H49" s="25">
        <f>C49-D49</f>
        <v>11573944</v>
      </c>
      <c r="I49" s="1">
        <v>0.5</v>
      </c>
      <c r="J49" s="65" t="str">
        <f>A49</f>
        <v>Public Transport</v>
      </c>
      <c r="K49" s="129">
        <v>19188923</v>
      </c>
      <c r="L49" s="129">
        <v>7614979</v>
      </c>
      <c r="M49" s="131">
        <f>L49/K49</f>
        <v>0.39684243873405506</v>
      </c>
      <c r="N49" s="81">
        <f>K49-L49</f>
        <v>11573944</v>
      </c>
      <c r="O49" s="81">
        <v>19347332</v>
      </c>
      <c r="P49" s="81">
        <v>6630607.8399999999</v>
      </c>
      <c r="Q49" s="80">
        <f>(P49/O49)</f>
        <v>0.34271432567549881</v>
      </c>
      <c r="R49" s="81">
        <f>O49-P49</f>
        <v>12716724.16</v>
      </c>
      <c r="S49" s="81">
        <f>'FY 2009 Exp 01-06-10'!C4</f>
        <v>19861346</v>
      </c>
      <c r="T49" s="81">
        <f>SUM('FY 2009 Exp 01-06-10'!F4:K4)</f>
        <v>6873001.1399999997</v>
      </c>
      <c r="U49" s="80">
        <f>T49/S49</f>
        <v>0.3460491116765198</v>
      </c>
      <c r="V49" s="81">
        <f>'FY 2009 Exp 01-06-10'!D4</f>
        <v>23302893</v>
      </c>
      <c r="W49" s="80">
        <f>T49/V49</f>
        <v>0.29494196879331674</v>
      </c>
      <c r="X49" s="13">
        <f>S49-T49</f>
        <v>12988344.859999999</v>
      </c>
      <c r="Y49" s="81">
        <f>'FY 2008 Exp 01-06-10'!C4</f>
        <v>17022879</v>
      </c>
      <c r="Z49" s="81">
        <f>SUM('FY 2008 Exp 01-06-10'!F4:K4)</f>
        <v>7347501.3100000005</v>
      </c>
      <c r="AA49" s="80">
        <f>Z49/Y49</f>
        <v>0.43162506823904467</v>
      </c>
      <c r="AB49" s="81">
        <f>'FY 2008 Exp 01-06-10'!C4</f>
        <v>17022879</v>
      </c>
      <c r="AC49" s="80">
        <f>Z49/AB49</f>
        <v>0.43162506823904467</v>
      </c>
      <c r="AD49" s="13">
        <f>Y49-Z49</f>
        <v>9675377.6899999995</v>
      </c>
    </row>
    <row r="50" spans="1:30" ht="15.75" customHeight="1" thickBot="1">
      <c r="A50" s="179" t="s">
        <v>24</v>
      </c>
      <c r="B50" s="180"/>
      <c r="C50" s="22">
        <f t="shared" si="10"/>
        <v>0</v>
      </c>
      <c r="D50" s="22">
        <f t="shared" si="10"/>
        <v>0</v>
      </c>
      <c r="E50" s="12">
        <v>0</v>
      </c>
      <c r="F50" s="28">
        <f>+G50-D50</f>
        <v>0</v>
      </c>
      <c r="G50" s="23">
        <f>C50*0.5</f>
        <v>0</v>
      </c>
      <c r="H50" s="25">
        <f>C50-D50</f>
        <v>0</v>
      </c>
      <c r="I50" s="1">
        <v>0.5</v>
      </c>
      <c r="J50" s="65" t="str">
        <f>A50</f>
        <v>Transfers</v>
      </c>
      <c r="K50" s="130">
        <v>0</v>
      </c>
      <c r="L50" s="130">
        <v>0</v>
      </c>
      <c r="M50" s="131" t="e">
        <f>L50/K50</f>
        <v>#DIV/0!</v>
      </c>
      <c r="N50" s="83">
        <f>K50-L50</f>
        <v>0</v>
      </c>
      <c r="O50" s="83">
        <v>0</v>
      </c>
      <c r="P50" s="83">
        <v>0</v>
      </c>
      <c r="Q50" s="77" t="e">
        <f>(P50/O50)</f>
        <v>#DIV/0!</v>
      </c>
      <c r="R50" s="83">
        <f>O50-P50</f>
        <v>0</v>
      </c>
      <c r="S50" s="83">
        <f>'FY 2009 Exp 01-06-10'!C5</f>
        <v>0</v>
      </c>
      <c r="T50" s="83">
        <f>SUM('FY 2009 Exp 01-06-10'!F5:K5)</f>
        <v>0</v>
      </c>
      <c r="U50" s="77" t="e">
        <f>T50/S50</f>
        <v>#DIV/0!</v>
      </c>
      <c r="V50" s="83">
        <f>'FY 2009 Exp 01-06-10'!D5</f>
        <v>433900</v>
      </c>
      <c r="W50" s="77">
        <f>T50/V50</f>
        <v>0</v>
      </c>
      <c r="X50" s="84">
        <f>S50-T50</f>
        <v>0</v>
      </c>
      <c r="Y50" s="83">
        <f>'FY 2008 Exp 01-06-10'!C5</f>
        <v>0</v>
      </c>
      <c r="Z50" s="83">
        <f>SUM('FY 2008 Exp 01-06-10'!F5:K5)</f>
        <v>0</v>
      </c>
      <c r="AA50" s="77" t="e">
        <f>Z50/Y50</f>
        <v>#DIV/0!</v>
      </c>
      <c r="AB50" s="83">
        <f>'FY 2008 Exp 01-06-10'!C5</f>
        <v>0</v>
      </c>
      <c r="AC50" s="77" t="e">
        <f>Z50/AB50</f>
        <v>#DIV/0!</v>
      </c>
      <c r="AD50" s="84">
        <f>Y50-Z50</f>
        <v>0</v>
      </c>
    </row>
    <row r="51" spans="1:30" ht="15.75" customHeight="1" thickBot="1">
      <c r="A51" s="181" t="s">
        <v>22</v>
      </c>
      <c r="B51" s="182"/>
      <c r="C51" s="20">
        <f>SUM(C48:C50)</f>
        <v>19232958</v>
      </c>
      <c r="D51" s="20">
        <f>SUM(D48:D50)</f>
        <v>7614979</v>
      </c>
      <c r="E51" s="12">
        <f>(D51/C51)</f>
        <v>0.39593384439356649</v>
      </c>
      <c r="F51" s="13">
        <f>+G51-D51</f>
        <v>2001500</v>
      </c>
      <c r="G51" s="23">
        <f>C51*0.5</f>
        <v>9616479</v>
      </c>
      <c r="J51" s="50"/>
      <c r="K51" s="82">
        <f>SUM(K48:K50)</f>
        <v>19232958</v>
      </c>
      <c r="L51" s="82">
        <f>SUM(L48:L50)</f>
        <v>7614979</v>
      </c>
      <c r="M51" s="132">
        <f>L51/K51</f>
        <v>0.39593384439356649</v>
      </c>
      <c r="N51" s="82">
        <f>SUM(N48:N50)</f>
        <v>11617979</v>
      </c>
      <c r="O51" s="82">
        <f>SUM(O48:O50)</f>
        <v>19391367</v>
      </c>
      <c r="P51" s="82">
        <f>SUM(P48:P50)</f>
        <v>6632391.2000000002</v>
      </c>
      <c r="Q51" s="78">
        <f>(P51/O51)</f>
        <v>0.34202803752824645</v>
      </c>
      <c r="R51" s="82">
        <f>SUM(R48:R50)</f>
        <v>12758975.800000001</v>
      </c>
      <c r="S51" s="82">
        <f>SUM(S48:S50)</f>
        <v>19905381</v>
      </c>
      <c r="T51" s="82">
        <f>SUM(T48:T50)</f>
        <v>6873001.1399999997</v>
      </c>
      <c r="U51" s="78">
        <f>T51/S51</f>
        <v>0.34528357633546425</v>
      </c>
      <c r="V51" s="82">
        <f>SUM(V48:V50)</f>
        <v>23954511</v>
      </c>
      <c r="W51" s="78">
        <f>T51/V51</f>
        <v>0.28691886634630109</v>
      </c>
      <c r="X51" s="82" t="e">
        <f>SUM(X48:X50)</f>
        <v>#VALUE!</v>
      </c>
      <c r="Y51" s="82">
        <f>SUM(Y48:Y50)</f>
        <v>17066914</v>
      </c>
      <c r="Z51" s="82">
        <f>SUM(Z48:Z50)</f>
        <v>7369763.3900000006</v>
      </c>
      <c r="AA51" s="78">
        <f>Z51/Y51</f>
        <v>0.4318158156770463</v>
      </c>
      <c r="AB51" s="82">
        <f>SUM(AB48:AB50)</f>
        <v>17424169</v>
      </c>
      <c r="AC51" s="78">
        <f>Z51/AB51</f>
        <v>0.42296211601253414</v>
      </c>
      <c r="AD51" s="82">
        <f>SUM(AD48:AD50)</f>
        <v>9697150.6099999994</v>
      </c>
    </row>
    <row r="52" spans="1:30" ht="15.75" customHeight="1" thickTop="1">
      <c r="A52" s="134"/>
      <c r="B52" s="134"/>
      <c r="C52" s="135"/>
      <c r="D52" s="135"/>
      <c r="E52" s="136"/>
      <c r="F52" s="23"/>
      <c r="G52" s="14"/>
      <c r="J52" s="50"/>
      <c r="K52" s="137"/>
      <c r="L52" s="137"/>
      <c r="M52" s="138"/>
      <c r="N52" s="24"/>
      <c r="O52" s="24"/>
      <c r="P52" s="24"/>
      <c r="Q52" s="136"/>
      <c r="R52" s="24"/>
      <c r="S52" s="24"/>
      <c r="T52" s="24"/>
      <c r="U52" s="136"/>
      <c r="V52" s="24"/>
      <c r="W52" s="136"/>
      <c r="X52" s="24"/>
      <c r="Y52" s="24"/>
      <c r="Z52" s="24"/>
      <c r="AA52" s="136"/>
      <c r="AB52" s="24"/>
      <c r="AC52" s="136"/>
      <c r="AD52" s="24"/>
    </row>
  </sheetData>
  <mergeCells count="17">
    <mergeCell ref="A47:B47"/>
    <mergeCell ref="A48:B48"/>
    <mergeCell ref="A49:B49"/>
    <mergeCell ref="A50:B50"/>
    <mergeCell ref="A51:B51"/>
    <mergeCell ref="A45:F45"/>
    <mergeCell ref="B3:D3"/>
    <mergeCell ref="A13:F13"/>
    <mergeCell ref="A14:F14"/>
    <mergeCell ref="A16:B16"/>
    <mergeCell ref="A17:B17"/>
    <mergeCell ref="A18:B18"/>
    <mergeCell ref="A19:B19"/>
    <mergeCell ref="A20:B20"/>
    <mergeCell ref="A21:B21"/>
    <mergeCell ref="A22:B22"/>
    <mergeCell ref="A23:B2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opLeftCell="A13" zoomScale="90" zoomScaleNormal="90" workbookViewId="0">
      <selection activeCell="A29" sqref="A29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7.12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2.5" style="2" bestFit="1" customWidth="1"/>
    <col min="12" max="12" width="10.25" style="2" bestFit="1" customWidth="1"/>
    <col min="13" max="14" width="11.5" style="2" customWidth="1"/>
    <col min="15" max="15" width="11.125" style="2" bestFit="1" customWidth="1"/>
    <col min="16" max="16" width="13.25" style="2" bestFit="1" customWidth="1"/>
    <col min="17" max="17" width="12.75" style="2" customWidth="1"/>
    <col min="18" max="18" width="12.5" style="2" bestFit="1" customWidth="1"/>
    <col min="19" max="19" width="11.25" style="2" customWidth="1"/>
    <col min="20" max="20" width="12.5" style="2" bestFit="1" customWidth="1"/>
    <col min="21" max="21" width="11.125" style="2" bestFit="1" customWidth="1"/>
    <col min="22" max="22" width="15.875" style="2" customWidth="1"/>
    <col min="23" max="23" width="10.75" style="2" customWidth="1"/>
    <col min="24" max="24" width="13.625" style="2" customWidth="1"/>
    <col min="25" max="25" width="11.875" style="2" customWidth="1"/>
    <col min="26" max="26" width="12.5" style="2" bestFit="1" customWidth="1"/>
    <col min="27" max="27" width="11.5" style="2" customWidth="1"/>
    <col min="28" max="28" width="11" style="2" customWidth="1"/>
    <col min="29" max="29" width="9" style="2"/>
    <col min="30" max="30" width="14" style="2" customWidth="1"/>
    <col min="31" max="16384" width="9" style="2"/>
  </cols>
  <sheetData>
    <row r="1" spans="1:24" ht="15.95" customHeight="1">
      <c r="E1" s="3"/>
      <c r="F1" s="3" t="s">
        <v>17</v>
      </c>
    </row>
    <row r="2" spans="1:24" ht="15.95" customHeight="1">
      <c r="E2" s="3"/>
      <c r="F2" s="3" t="s">
        <v>36</v>
      </c>
    </row>
    <row r="3" spans="1:24" ht="15.95" customHeight="1">
      <c r="B3" s="175" t="s">
        <v>30</v>
      </c>
      <c r="C3" s="175"/>
      <c r="D3" s="175"/>
      <c r="E3" s="3"/>
      <c r="F3" s="3" t="s">
        <v>37</v>
      </c>
    </row>
    <row r="4" spans="1:24" ht="15.95" customHeight="1">
      <c r="E4" s="3"/>
      <c r="F4" s="3" t="s">
        <v>38</v>
      </c>
    </row>
    <row r="5" spans="1:24" ht="15.95" customHeight="1">
      <c r="E5" s="3"/>
      <c r="F5" s="3" t="s">
        <v>18</v>
      </c>
    </row>
    <row r="6" spans="1:24" ht="15.75">
      <c r="A6" s="4"/>
      <c r="B6" s="4"/>
      <c r="C6" s="4"/>
      <c r="D6" s="5"/>
      <c r="E6" s="5"/>
      <c r="F6" s="4"/>
    </row>
    <row r="7" spans="1:24" ht="15.75">
      <c r="D7" s="3"/>
      <c r="E7" s="3"/>
    </row>
    <row r="8" spans="1:24" ht="19.5" customHeight="1">
      <c r="A8" s="6" t="s">
        <v>25</v>
      </c>
      <c r="B8" s="7" t="s">
        <v>26</v>
      </c>
    </row>
    <row r="9" spans="1:24" ht="19.5" customHeight="1">
      <c r="A9" s="6" t="s">
        <v>27</v>
      </c>
      <c r="B9" s="7" t="s">
        <v>64</v>
      </c>
    </row>
    <row r="10" spans="1:24" ht="19.5" customHeight="1">
      <c r="A10" s="6" t="s">
        <v>28</v>
      </c>
      <c r="B10" s="8">
        <v>40558</v>
      </c>
    </row>
    <row r="11" spans="1:24" ht="19.5" customHeight="1">
      <c r="A11" s="6" t="s">
        <v>29</v>
      </c>
      <c r="B11" s="7" t="s">
        <v>109</v>
      </c>
    </row>
    <row r="12" spans="1:24" ht="19.5" customHeight="1">
      <c r="A12" s="6"/>
      <c r="B12" s="7"/>
    </row>
    <row r="13" spans="1:24" ht="30.75" customHeight="1">
      <c r="A13" s="184"/>
      <c r="B13" s="184"/>
      <c r="C13" s="184"/>
      <c r="D13" s="184"/>
      <c r="E13" s="184"/>
      <c r="F13" s="184"/>
    </row>
    <row r="14" spans="1:24" ht="31.5" customHeight="1">
      <c r="A14" s="183" t="s">
        <v>87</v>
      </c>
      <c r="B14" s="183"/>
      <c r="C14" s="183"/>
      <c r="D14" s="183"/>
      <c r="E14" s="183"/>
      <c r="F14" s="183"/>
    </row>
    <row r="15" spans="1:24">
      <c r="K15" s="64"/>
      <c r="L15" s="64"/>
      <c r="M15" s="64"/>
      <c r="N15" s="64"/>
    </row>
    <row r="16" spans="1:24" ht="38.25">
      <c r="A16" s="185"/>
      <c r="B16" s="185"/>
      <c r="C16" s="9" t="s">
        <v>113</v>
      </c>
      <c r="D16" s="9" t="s">
        <v>118</v>
      </c>
      <c r="E16" s="9" t="s">
        <v>19</v>
      </c>
      <c r="F16" s="9" t="s">
        <v>9</v>
      </c>
      <c r="G16" s="10">
        <v>0.25</v>
      </c>
      <c r="H16" s="2" t="s">
        <v>31</v>
      </c>
      <c r="I16" s="10">
        <v>0.25</v>
      </c>
      <c r="K16" s="9" t="s">
        <v>110</v>
      </c>
      <c r="L16" s="9" t="s">
        <v>111</v>
      </c>
      <c r="M16" s="9">
        <v>2011</v>
      </c>
      <c r="N16" s="9" t="s">
        <v>65</v>
      </c>
      <c r="O16" s="9" t="s">
        <v>112</v>
      </c>
      <c r="P16" s="9">
        <v>2010</v>
      </c>
      <c r="Q16" s="9" t="s">
        <v>1</v>
      </c>
      <c r="R16" s="9" t="s">
        <v>73</v>
      </c>
      <c r="S16" s="9" t="s">
        <v>76</v>
      </c>
      <c r="T16" s="9">
        <v>2009</v>
      </c>
      <c r="U16" s="9" t="s">
        <v>74</v>
      </c>
      <c r="V16" s="9" t="s">
        <v>75</v>
      </c>
      <c r="W16" s="9" t="s">
        <v>77</v>
      </c>
      <c r="X16" s="9">
        <v>2008</v>
      </c>
    </row>
    <row r="17" spans="1:24" ht="15.75" customHeight="1">
      <c r="A17" s="186" t="s">
        <v>20</v>
      </c>
      <c r="B17" s="186"/>
      <c r="C17" s="11">
        <f t="shared" ref="C17:D22" si="0">K17</f>
        <v>0</v>
      </c>
      <c r="D17" s="11">
        <f t="shared" si="0"/>
        <v>0</v>
      </c>
      <c r="E17" s="139" t="s">
        <v>117</v>
      </c>
      <c r="F17" s="29">
        <f t="shared" ref="F17:F22" si="1">D17-G17</f>
        <v>0</v>
      </c>
      <c r="G17" s="14">
        <f t="shared" ref="G17:G23" si="2">C17*0.25</f>
        <v>0</v>
      </c>
      <c r="H17" s="15">
        <f t="shared" ref="H17:H22" si="3">C17-D17</f>
        <v>0</v>
      </c>
      <c r="I17" s="10">
        <v>0.25</v>
      </c>
      <c r="J17" s="21" t="str">
        <f t="shared" ref="J17:J22" si="4">A17</f>
        <v>Current / Delinquent Taxes</v>
      </c>
      <c r="K17" s="129">
        <v>0</v>
      </c>
      <c r="L17" s="129">
        <v>0</v>
      </c>
      <c r="M17" s="12" t="e">
        <f t="shared" ref="M17:M23" si="5">(L17/K17)</f>
        <v>#DIV/0!</v>
      </c>
      <c r="N17" s="11">
        <v>4337995</v>
      </c>
      <c r="O17" s="11">
        <v>2345427.7200000002</v>
      </c>
      <c r="P17" s="12">
        <f t="shared" ref="P17:P23" si="6">(O17/N17)</f>
        <v>0.54067091363636888</v>
      </c>
      <c r="Q17" s="11">
        <f>'FY 2009 Rev 01-15-10'!E3</f>
        <v>4070011</v>
      </c>
      <c r="R17" s="11">
        <f>SUM('FY 2009 Rev 01-15-10'!F3:H3)</f>
        <v>1852124.09</v>
      </c>
      <c r="S17" s="11">
        <f>'FY 2009 Rev 01-15-10'!D3</f>
        <v>4095648.34</v>
      </c>
      <c r="T17" s="12">
        <f t="shared" ref="T17:T23" si="7">R17/S17</f>
        <v>0.45221755781894113</v>
      </c>
      <c r="U17" s="11">
        <f>'FY 2008 Rev 01-15-10'!E3</f>
        <v>762480</v>
      </c>
      <c r="V17" s="11">
        <f>SUM('FY 2008 Rev 01-15-10'!F3:H3)</f>
        <v>360149.9</v>
      </c>
      <c r="W17" s="11">
        <f>'FY 2008 Rev 01-15-10'!D3</f>
        <v>788839.59</v>
      </c>
      <c r="X17" s="12">
        <f t="shared" ref="X17:X23" si="8">V17/W17</f>
        <v>0.45655657318112042</v>
      </c>
    </row>
    <row r="18" spans="1:24" ht="15.75" customHeight="1">
      <c r="A18" s="186" t="s">
        <v>66</v>
      </c>
      <c r="B18" s="186"/>
      <c r="C18" s="22">
        <f t="shared" si="0"/>
        <v>2000</v>
      </c>
      <c r="D18" s="22">
        <f t="shared" si="0"/>
        <v>234</v>
      </c>
      <c r="E18" s="12">
        <f t="shared" ref="E18:E23" si="9">(D18/C18)</f>
        <v>0.11700000000000001</v>
      </c>
      <c r="F18" s="22">
        <f>D18-G18</f>
        <v>-266</v>
      </c>
      <c r="G18" s="14">
        <f t="shared" si="2"/>
        <v>500</v>
      </c>
      <c r="H18" s="15">
        <f t="shared" si="3"/>
        <v>1766</v>
      </c>
      <c r="I18" s="10">
        <v>0.25</v>
      </c>
      <c r="J18" s="21" t="str">
        <f t="shared" si="4"/>
        <v>License / Permits</v>
      </c>
      <c r="K18" s="129">
        <v>2000</v>
      </c>
      <c r="L18" s="129">
        <v>234</v>
      </c>
      <c r="M18" s="12">
        <f t="shared" si="5"/>
        <v>0.11700000000000001</v>
      </c>
      <c r="N18" s="16">
        <v>1854</v>
      </c>
      <c r="O18" s="28">
        <v>360</v>
      </c>
      <c r="P18" s="12">
        <f t="shared" si="6"/>
        <v>0.1941747572815534</v>
      </c>
      <c r="Q18" s="28">
        <f>'FY 2009 Rev 01-15-10'!E5</f>
        <v>3000</v>
      </c>
      <c r="R18" s="28">
        <f>SUM('FY 2009 Rev 01-15-10'!F5:H5)</f>
        <v>621</v>
      </c>
      <c r="S18" s="28">
        <f>'FY 2009 Rev 01-15-10'!D5</f>
        <v>1476</v>
      </c>
      <c r="T18" s="12">
        <f t="shared" si="7"/>
        <v>0.42073170731707316</v>
      </c>
      <c r="U18" s="28">
        <f>'FY 2008 Rev 01-15-10'!E5</f>
        <v>7500</v>
      </c>
      <c r="V18" s="28">
        <f>SUM('FY 2008 Rev 01-15-10'!F5:H5)</f>
        <v>504</v>
      </c>
      <c r="W18" s="28">
        <f>'FY 2008 Rev 01-15-10'!D5</f>
        <v>3209</v>
      </c>
      <c r="X18" s="12">
        <f t="shared" si="8"/>
        <v>0.15705827360548458</v>
      </c>
    </row>
    <row r="19" spans="1:24" ht="24.75" customHeight="1">
      <c r="A19" s="186" t="s">
        <v>2</v>
      </c>
      <c r="B19" s="186"/>
      <c r="C19" s="22">
        <f t="shared" si="0"/>
        <v>13169000</v>
      </c>
      <c r="D19" s="22">
        <f t="shared" si="0"/>
        <v>1623662</v>
      </c>
      <c r="E19" s="12">
        <f t="shared" si="9"/>
        <v>0.12329425165160604</v>
      </c>
      <c r="F19" s="22">
        <f t="shared" si="1"/>
        <v>-1668588</v>
      </c>
      <c r="G19" s="27">
        <f t="shared" si="2"/>
        <v>3292250</v>
      </c>
      <c r="H19" s="27">
        <f t="shared" si="3"/>
        <v>11545338</v>
      </c>
      <c r="I19" s="10">
        <v>0.25</v>
      </c>
      <c r="J19" s="21" t="str">
        <f t="shared" si="4"/>
        <v>Fees/Charges for Services</v>
      </c>
      <c r="K19" s="129">
        <v>13169000</v>
      </c>
      <c r="L19" s="129">
        <f>119354+1504308</f>
        <v>1623662</v>
      </c>
      <c r="M19" s="12">
        <f t="shared" si="5"/>
        <v>0.12329425165160604</v>
      </c>
      <c r="N19" s="16">
        <v>12094490</v>
      </c>
      <c r="O19" s="28">
        <v>1527967.71</v>
      </c>
      <c r="P19" s="12">
        <f t="shared" si="6"/>
        <v>0.12633585293799077</v>
      </c>
      <c r="Q19" s="28">
        <f>'FY 2009 Rev 01-15-10'!E10</f>
        <v>11806400</v>
      </c>
      <c r="R19" s="28">
        <f>SUM('FY 2009 Rev 01-15-10'!F10:H10)</f>
        <v>1444413.2000000002</v>
      </c>
      <c r="S19" s="28">
        <f>'FY 2009 Rev 01-15-10'!D10</f>
        <v>13237833.390000001</v>
      </c>
      <c r="T19" s="12">
        <f t="shared" si="7"/>
        <v>0.1091125078739188</v>
      </c>
      <c r="U19" s="28">
        <f>'FY 2008 Rev 01-15-10'!E10</f>
        <v>11740700</v>
      </c>
      <c r="V19" s="28">
        <f>SUM('FY 2008 Rev 01-15-10'!F10:H10)</f>
        <v>1391161.49</v>
      </c>
      <c r="W19" s="28">
        <f>'FY 2008 Rev 01-15-10'!D10</f>
        <v>13297241.34</v>
      </c>
      <c r="X19" s="12">
        <f t="shared" si="8"/>
        <v>0.1046203084105263</v>
      </c>
    </row>
    <row r="20" spans="1:24" ht="15.75" customHeight="1">
      <c r="A20" s="186" t="s">
        <v>4</v>
      </c>
      <c r="B20" s="186"/>
      <c r="C20" s="22">
        <f t="shared" si="0"/>
        <v>2066000</v>
      </c>
      <c r="D20" s="22">
        <f t="shared" si="0"/>
        <v>316585</v>
      </c>
      <c r="E20" s="12">
        <f t="shared" si="9"/>
        <v>0.15323572120038723</v>
      </c>
      <c r="F20" s="22">
        <f t="shared" si="1"/>
        <v>-199915</v>
      </c>
      <c r="G20" s="27">
        <f t="shared" si="2"/>
        <v>516500</v>
      </c>
      <c r="H20" s="27">
        <f t="shared" si="3"/>
        <v>1749415</v>
      </c>
      <c r="I20" s="10">
        <v>0.25</v>
      </c>
      <c r="J20" s="21" t="str">
        <f t="shared" si="4"/>
        <v>Fines</v>
      </c>
      <c r="K20" s="129">
        <v>2066000</v>
      </c>
      <c r="L20" s="129">
        <v>316585</v>
      </c>
      <c r="M20" s="12">
        <f t="shared" si="5"/>
        <v>0.15323572120038723</v>
      </c>
      <c r="N20" s="16">
        <v>2295355</v>
      </c>
      <c r="O20" s="28">
        <v>472934.6</v>
      </c>
      <c r="P20" s="12">
        <f t="shared" si="6"/>
        <v>0.20603985004498213</v>
      </c>
      <c r="Q20" s="28">
        <f>'FY 2009 Rev 01-15-10'!E12</f>
        <v>1904500</v>
      </c>
      <c r="R20" s="28">
        <f>SUM('FY 2009 Rev 01-15-10'!F12:H12)</f>
        <v>511304.98</v>
      </c>
      <c r="S20" s="28">
        <f>'FY 2009 Rev 01-15-10'!D12</f>
        <v>2213669.08</v>
      </c>
      <c r="T20" s="12">
        <f t="shared" si="7"/>
        <v>0.2309762487173557</v>
      </c>
      <c r="U20" s="28">
        <f>'FY 2008 Rev 01-15-10'!E12</f>
        <v>2042325</v>
      </c>
      <c r="V20" s="28">
        <f>SUM('FY 2008 Rev 01-15-10'!F12:H12)</f>
        <v>231450.84000000003</v>
      </c>
      <c r="W20" s="28">
        <f>'FY 2008 Rev 01-15-10'!D12</f>
        <v>2340429.91</v>
      </c>
      <c r="X20" s="12">
        <f t="shared" si="8"/>
        <v>9.8892446644556861E-2</v>
      </c>
    </row>
    <row r="21" spans="1:24" ht="15.75" customHeight="1">
      <c r="A21" s="186" t="s">
        <v>3</v>
      </c>
      <c r="B21" s="186"/>
      <c r="C21" s="22">
        <f t="shared" si="0"/>
        <v>120000</v>
      </c>
      <c r="D21" s="22">
        <f t="shared" si="0"/>
        <v>58080</v>
      </c>
      <c r="E21" s="12">
        <f t="shared" si="9"/>
        <v>0.48399999999999999</v>
      </c>
      <c r="F21" s="22">
        <f t="shared" si="1"/>
        <v>28080</v>
      </c>
      <c r="G21" s="26">
        <f t="shared" si="2"/>
        <v>30000</v>
      </c>
      <c r="H21" s="27">
        <f t="shared" si="3"/>
        <v>61920</v>
      </c>
      <c r="I21" s="10">
        <v>0.25</v>
      </c>
      <c r="J21" s="21" t="str">
        <f t="shared" si="4"/>
        <v>Investment Revenue</v>
      </c>
      <c r="K21" s="129">
        <v>120000</v>
      </c>
      <c r="L21" s="129">
        <v>58080</v>
      </c>
      <c r="M21" s="12">
        <f t="shared" si="5"/>
        <v>0.48399999999999999</v>
      </c>
      <c r="N21" s="16">
        <v>280881</v>
      </c>
      <c r="O21" s="28">
        <v>58015.57</v>
      </c>
      <c r="P21" s="12">
        <f t="shared" si="6"/>
        <v>0.20654857395124626</v>
      </c>
      <c r="Q21" s="28">
        <f>'FY 2009 Rev 01-15-10'!E14</f>
        <v>305000</v>
      </c>
      <c r="R21" s="28">
        <f>SUM('FY 2009 Rev 01-15-10'!F14:H14)</f>
        <v>73046.83</v>
      </c>
      <c r="S21" s="28">
        <f>'FY 2009 Rev 01-15-10'!D14</f>
        <v>284617.61</v>
      </c>
      <c r="T21" s="12">
        <f t="shared" si="7"/>
        <v>0.25664901760646508</v>
      </c>
      <c r="U21" s="28">
        <f>'FY 2008 Rev 01-15-10'!E14</f>
        <v>572500</v>
      </c>
      <c r="V21" s="28">
        <f>SUM('FY 2008 Rev 01-15-10'!F14:H14)</f>
        <v>112324.09</v>
      </c>
      <c r="W21" s="28">
        <f>'FY 2008 Rev 01-15-10'!D14</f>
        <v>457042.89</v>
      </c>
      <c r="X21" s="12">
        <f t="shared" si="8"/>
        <v>0.24576268979920024</v>
      </c>
    </row>
    <row r="22" spans="1:24" ht="15.75" customHeight="1" thickBot="1">
      <c r="A22" s="186" t="s">
        <v>21</v>
      </c>
      <c r="B22" s="186"/>
      <c r="C22" s="22">
        <f t="shared" si="0"/>
        <v>25000</v>
      </c>
      <c r="D22" s="22">
        <f t="shared" si="0"/>
        <v>2530</v>
      </c>
      <c r="E22" s="12">
        <f t="shared" si="9"/>
        <v>0.1012</v>
      </c>
      <c r="F22" s="22">
        <f t="shared" si="1"/>
        <v>-3720</v>
      </c>
      <c r="G22" s="27">
        <f t="shared" si="2"/>
        <v>6250</v>
      </c>
      <c r="H22" s="27">
        <f t="shared" si="3"/>
        <v>22470</v>
      </c>
      <c r="I22" s="10">
        <v>0.25</v>
      </c>
      <c r="J22" s="21" t="str">
        <f t="shared" si="4"/>
        <v>Miscellaneous</v>
      </c>
      <c r="K22" s="130">
        <f>15000+10000</f>
        <v>25000</v>
      </c>
      <c r="L22" s="130">
        <v>2530</v>
      </c>
      <c r="M22" s="127">
        <f t="shared" si="5"/>
        <v>0.1012</v>
      </c>
      <c r="N22" s="52">
        <v>25400</v>
      </c>
      <c r="O22" s="53">
        <v>15398.05</v>
      </c>
      <c r="P22" s="77">
        <f t="shared" si="6"/>
        <v>0.60622244094488187</v>
      </c>
      <c r="Q22" s="53">
        <f>'FY 2009 Rev 01-15-10'!E16+'FY 2009 Rev 01-15-10'!E18+'FY 2009 Rev 01-15-10'!E20</f>
        <v>117000</v>
      </c>
      <c r="R22" s="53">
        <f>SUM('FY 2009 Rev 01-15-10'!F16:H16,'FY 2009 Rev 01-15-10'!F18:H18,'FY 2009 Rev 01-15-10'!F20:H20)</f>
        <v>1817.58</v>
      </c>
      <c r="S22" s="53">
        <f>'FY 2009 Rev 01-15-10'!D16+'FY 2009 Rev 01-15-10'!D18+'FY 2009 Rev 01-15-10'!D20</f>
        <v>65838.240000000005</v>
      </c>
      <c r="T22" s="77">
        <f t="shared" si="7"/>
        <v>2.7606752549885899E-2</v>
      </c>
      <c r="U22" s="53">
        <f>'FY 2008 Rev 01-15-10'!E16+'FY 2008 Rev 01-15-10'!E18+'FY 2008 Rev 01-15-10'!E20</f>
        <v>90000</v>
      </c>
      <c r="V22" s="53">
        <f>SUM('FY 2008 Rev 01-15-10'!F16:H16,'FY 2008 Rev 01-15-10'!F18:H18,'FY 2008 Rev 01-15-10'!F20:H20)</f>
        <v>270281.63</v>
      </c>
      <c r="W22" s="53">
        <f>'FY 2008 Rev 01-15-10'!D16+'FY 2008 Rev 01-15-10'!D18+'FY 2008 Rev 01-15-10'!D20</f>
        <v>363410.55000000005</v>
      </c>
      <c r="X22" s="77">
        <f t="shared" si="8"/>
        <v>0.74373633346637835</v>
      </c>
    </row>
    <row r="23" spans="1:24" ht="15.75" customHeight="1" thickBot="1">
      <c r="A23" s="187" t="s">
        <v>22</v>
      </c>
      <c r="B23" s="187"/>
      <c r="C23" s="11">
        <f>SUM(C17:C22)</f>
        <v>15382000</v>
      </c>
      <c r="D23" s="11">
        <f>SUM(D17:D22)</f>
        <v>2001091</v>
      </c>
      <c r="E23" s="12">
        <f t="shared" si="9"/>
        <v>0.1300930308152386</v>
      </c>
      <c r="F23" s="17">
        <f>SUM(F17:F22)</f>
        <v>-1844409</v>
      </c>
      <c r="G23" s="27">
        <f t="shared" si="2"/>
        <v>3845500</v>
      </c>
      <c r="H23" s="27"/>
      <c r="J23" s="21"/>
      <c r="K23" s="128">
        <f>SUM(K17:K22)</f>
        <v>15382000</v>
      </c>
      <c r="L23" s="51">
        <f>SUM(L17:L22)</f>
        <v>2001091</v>
      </c>
      <c r="M23" s="126">
        <f t="shared" si="5"/>
        <v>0.1300930308152386</v>
      </c>
      <c r="N23" s="51">
        <f>SUM(N17:N22)</f>
        <v>19035975</v>
      </c>
      <c r="O23" s="51">
        <f>SUM(O17:O22)</f>
        <v>4420103.6500000004</v>
      </c>
      <c r="P23" s="78">
        <f t="shared" si="6"/>
        <v>0.23219738679001209</v>
      </c>
      <c r="Q23" s="51">
        <f>SUM(Q17:Q22)</f>
        <v>18205911</v>
      </c>
      <c r="R23" s="51">
        <f>SUM(R17:R22)</f>
        <v>3883327.68</v>
      </c>
      <c r="S23" s="51">
        <f>SUM(S17:S22)</f>
        <v>19899082.66</v>
      </c>
      <c r="T23" s="78">
        <f t="shared" si="7"/>
        <v>0.19515109044730206</v>
      </c>
      <c r="U23" s="51">
        <f>SUM(U17:U22)</f>
        <v>15215505</v>
      </c>
      <c r="V23" s="51">
        <f>SUM(V17:V22)</f>
        <v>2365871.9500000002</v>
      </c>
      <c r="W23" s="51">
        <f>SUM(W17:W22)</f>
        <v>17250173.280000001</v>
      </c>
      <c r="X23" s="78">
        <f t="shared" si="8"/>
        <v>0.1371506193936621</v>
      </c>
    </row>
    <row r="24" spans="1:24" ht="22.5" customHeight="1" thickTop="1">
      <c r="J24" s="21"/>
      <c r="K24" s="26"/>
    </row>
    <row r="25" spans="1:24">
      <c r="J25" s="21"/>
      <c r="K25" s="26"/>
    </row>
    <row r="39" spans="1:30">
      <c r="J39" s="65"/>
      <c r="K39" s="65"/>
    </row>
    <row r="40" spans="1:30">
      <c r="J40" s="65"/>
      <c r="K40" s="65"/>
    </row>
    <row r="41" spans="1:30">
      <c r="J41" s="65"/>
      <c r="K41" s="65"/>
    </row>
    <row r="42" spans="1:30">
      <c r="J42" s="65"/>
      <c r="K42" s="65"/>
    </row>
    <row r="43" spans="1:30">
      <c r="J43" s="65"/>
      <c r="K43" s="65"/>
    </row>
    <row r="44" spans="1:30">
      <c r="J44" s="65"/>
      <c r="K44" s="65"/>
    </row>
    <row r="45" spans="1:30" ht="33" customHeight="1">
      <c r="A45" s="183" t="s">
        <v>88</v>
      </c>
      <c r="B45" s="183"/>
      <c r="C45" s="183"/>
      <c r="D45" s="183"/>
      <c r="E45" s="183"/>
      <c r="F45" s="183"/>
      <c r="J45" s="65"/>
      <c r="K45" s="65"/>
    </row>
    <row r="46" spans="1:30" ht="12" customHeight="1">
      <c r="B46" s="18"/>
      <c r="C46" s="18"/>
      <c r="D46" s="18"/>
      <c r="E46" s="18"/>
      <c r="J46" s="65"/>
      <c r="K46" s="65"/>
    </row>
    <row r="47" spans="1:30" ht="36" customHeight="1">
      <c r="A47" s="178"/>
      <c r="B47" s="178"/>
      <c r="C47" s="19" t="s">
        <v>65</v>
      </c>
      <c r="D47" s="19" t="s">
        <v>119</v>
      </c>
      <c r="E47" s="19" t="s">
        <v>19</v>
      </c>
      <c r="F47" s="9" t="s">
        <v>9</v>
      </c>
      <c r="G47" s="10">
        <v>0.25</v>
      </c>
      <c r="H47" s="2" t="s">
        <v>32</v>
      </c>
      <c r="K47" s="79" t="s">
        <v>113</v>
      </c>
      <c r="L47" s="75" t="s">
        <v>114</v>
      </c>
      <c r="M47" s="76">
        <v>2011</v>
      </c>
      <c r="N47" s="75" t="s">
        <v>115</v>
      </c>
      <c r="O47" s="79" t="s">
        <v>65</v>
      </c>
      <c r="P47" s="75" t="s">
        <v>116</v>
      </c>
      <c r="Q47" s="76">
        <v>2010</v>
      </c>
      <c r="R47" s="75" t="s">
        <v>79</v>
      </c>
      <c r="S47" s="75" t="s">
        <v>1</v>
      </c>
      <c r="T47" s="75" t="s">
        <v>80</v>
      </c>
      <c r="U47" s="76">
        <v>2009</v>
      </c>
      <c r="V47" s="75" t="s">
        <v>81</v>
      </c>
      <c r="W47" s="75">
        <v>2009</v>
      </c>
      <c r="X47" s="75" t="s">
        <v>82</v>
      </c>
      <c r="Y47" s="75" t="s">
        <v>74</v>
      </c>
      <c r="Z47" s="75" t="s">
        <v>83</v>
      </c>
      <c r="AA47" s="76">
        <v>2008</v>
      </c>
      <c r="AB47" s="75" t="s">
        <v>84</v>
      </c>
      <c r="AC47" s="75">
        <v>2008</v>
      </c>
      <c r="AD47" s="75" t="s">
        <v>85</v>
      </c>
    </row>
    <row r="48" spans="1:30" ht="15.75" customHeight="1">
      <c r="A48" s="179" t="s">
        <v>23</v>
      </c>
      <c r="B48" s="180"/>
      <c r="C48" s="11">
        <f t="shared" ref="C48:D50" si="10">K48</f>
        <v>44035</v>
      </c>
      <c r="D48" s="11">
        <f t="shared" si="10"/>
        <v>0</v>
      </c>
      <c r="E48" s="12">
        <f>(D48/C48)</f>
        <v>0</v>
      </c>
      <c r="F48" s="11">
        <f>+G48-D48</f>
        <v>11008.75</v>
      </c>
      <c r="G48" s="23">
        <f>C48*0.25</f>
        <v>11008.75</v>
      </c>
      <c r="H48" s="24">
        <f>C48-D48</f>
        <v>44035</v>
      </c>
      <c r="I48" s="1">
        <v>0.25</v>
      </c>
      <c r="J48" s="65" t="str">
        <f>A48</f>
        <v>Conservation</v>
      </c>
      <c r="K48" s="129">
        <v>44035</v>
      </c>
      <c r="L48" s="129">
        <v>0</v>
      </c>
      <c r="M48" s="131">
        <f>L48/K48</f>
        <v>0</v>
      </c>
      <c r="N48" s="13">
        <f>K48-L48</f>
        <v>44035</v>
      </c>
      <c r="O48" s="13">
        <v>44035</v>
      </c>
      <c r="P48" s="13">
        <v>1783.36</v>
      </c>
      <c r="Q48" s="80">
        <f>(P48/O48)</f>
        <v>4.0498694220506413E-2</v>
      </c>
      <c r="R48" s="13">
        <f>O48-P48</f>
        <v>42251.64</v>
      </c>
      <c r="S48" s="13">
        <f>'FY 2009 Exp 01-06-10'!C2</f>
        <v>44035</v>
      </c>
      <c r="T48" s="13">
        <f>SUM('FY 2009 Exp 01-06-10'!F2:H2)</f>
        <v>14369.279999999999</v>
      </c>
      <c r="U48" s="80">
        <f>T48/S48</f>
        <v>0.3263149767230612</v>
      </c>
      <c r="V48" s="13">
        <f>'FY 2009 Exp 01-06-10'!D2</f>
        <v>217718</v>
      </c>
      <c r="W48" s="80">
        <f>T48/V48</f>
        <v>6.5999503945470744E-2</v>
      </c>
      <c r="X48" s="13">
        <f>S48-T48</f>
        <v>29665.72</v>
      </c>
      <c r="Y48" s="13">
        <f>'FY 2008 Exp 01-06-10'!C2</f>
        <v>44035</v>
      </c>
      <c r="Z48" s="13">
        <f>SUM('FY 2008 Exp 01-06-10'!F2:H2)</f>
        <v>7545.48</v>
      </c>
      <c r="AA48" s="80">
        <f>Z48/Y48</f>
        <v>0.17135187918701034</v>
      </c>
      <c r="AB48" s="13">
        <f>'FY 2008 Exp 01-06-10'!D2</f>
        <v>401290</v>
      </c>
      <c r="AC48" s="80">
        <f>Z48/AB48</f>
        <v>1.8803060131077274E-2</v>
      </c>
      <c r="AD48" s="13">
        <f>Y48-Z48</f>
        <v>36489.520000000004</v>
      </c>
    </row>
    <row r="49" spans="1:30" ht="15.75" customHeight="1">
      <c r="A49" s="179" t="s">
        <v>102</v>
      </c>
      <c r="B49" s="180"/>
      <c r="C49" s="22">
        <f t="shared" si="10"/>
        <v>19188923</v>
      </c>
      <c r="D49" s="22">
        <f t="shared" si="10"/>
        <v>3387465</v>
      </c>
      <c r="E49" s="12">
        <f>(D49/C49)</f>
        <v>0.17653231502362066</v>
      </c>
      <c r="F49" s="28">
        <f>+G49-D49</f>
        <v>1409765.75</v>
      </c>
      <c r="G49" s="25">
        <f>C49*0.25</f>
        <v>4797230.75</v>
      </c>
      <c r="H49" s="25">
        <f>C49-D49</f>
        <v>15801458</v>
      </c>
      <c r="I49" s="1">
        <v>0.25</v>
      </c>
      <c r="J49" s="65" t="str">
        <f>A49</f>
        <v>Public Transport</v>
      </c>
      <c r="K49" s="129">
        <v>19188923</v>
      </c>
      <c r="L49" s="129">
        <v>3387465</v>
      </c>
      <c r="M49" s="131">
        <f>L49/K49</f>
        <v>0.17653231502362066</v>
      </c>
      <c r="N49" s="81">
        <f>K49-L49</f>
        <v>15801458</v>
      </c>
      <c r="O49" s="81">
        <v>19347332</v>
      </c>
      <c r="P49" s="81">
        <v>2680684.2000000002</v>
      </c>
      <c r="Q49" s="80">
        <f>(P49/O49)</f>
        <v>0.13855575538787468</v>
      </c>
      <c r="R49" s="81">
        <f>O49-P49</f>
        <v>16666647.800000001</v>
      </c>
      <c r="S49" s="81">
        <f>'FY 2009 Exp 01-06-10'!C4</f>
        <v>19861346</v>
      </c>
      <c r="T49" s="81">
        <f>SUM('FY 2009 Exp 01-06-10'!F4:H4)</f>
        <v>3880456.6799999997</v>
      </c>
      <c r="U49" s="80">
        <f>T49/S49</f>
        <v>0.19537732639066857</v>
      </c>
      <c r="V49" s="81">
        <f>'FY 2009 Exp 01-06-10'!D4</f>
        <v>23302893</v>
      </c>
      <c r="W49" s="80">
        <f>T49/V49</f>
        <v>0.16652252919841326</v>
      </c>
      <c r="X49" s="13">
        <f>S49-T49</f>
        <v>15980889.32</v>
      </c>
      <c r="Y49" s="81">
        <f>'FY 2008 Exp 01-06-10'!C4</f>
        <v>17022879</v>
      </c>
      <c r="Z49" s="81">
        <f>SUM('FY 2008 Exp 01-06-10'!F4:H4)</f>
        <v>2716479.66</v>
      </c>
      <c r="AA49" s="80">
        <f>Z49/Y49</f>
        <v>0.15957815713781437</v>
      </c>
      <c r="AB49" s="81">
        <f>'FY 2008 Exp 01-06-10'!C4</f>
        <v>17022879</v>
      </c>
      <c r="AC49" s="80">
        <f>Z49/AB49</f>
        <v>0.15957815713781437</v>
      </c>
      <c r="AD49" s="13">
        <f>Y49-Z49</f>
        <v>14306399.34</v>
      </c>
    </row>
    <row r="50" spans="1:30" ht="15.75" customHeight="1" thickBot="1">
      <c r="A50" s="179" t="s">
        <v>24</v>
      </c>
      <c r="B50" s="180"/>
      <c r="C50" s="22">
        <f t="shared" si="10"/>
        <v>0</v>
      </c>
      <c r="D50" s="22">
        <f t="shared" si="10"/>
        <v>0</v>
      </c>
      <c r="E50" s="12">
        <v>0</v>
      </c>
      <c r="F50" s="28">
        <f>+G50-D50</f>
        <v>0</v>
      </c>
      <c r="G50" s="25">
        <f>C50*0.25</f>
        <v>0</v>
      </c>
      <c r="H50" s="25">
        <f>C50-D50</f>
        <v>0</v>
      </c>
      <c r="I50" s="1">
        <v>0.25</v>
      </c>
      <c r="J50" s="65" t="str">
        <f>A50</f>
        <v>Transfers</v>
      </c>
      <c r="K50" s="130">
        <v>0</v>
      </c>
      <c r="L50" s="130">
        <v>0</v>
      </c>
      <c r="M50" s="133" t="e">
        <f>L50/K50</f>
        <v>#DIV/0!</v>
      </c>
      <c r="N50" s="83">
        <f>K50-L50</f>
        <v>0</v>
      </c>
      <c r="O50" s="83">
        <v>0</v>
      </c>
      <c r="P50" s="83">
        <v>0</v>
      </c>
      <c r="Q50" s="77" t="e">
        <f>(P50/O50)</f>
        <v>#DIV/0!</v>
      </c>
      <c r="R50" s="83">
        <f>O50-P50</f>
        <v>0</v>
      </c>
      <c r="S50" s="83">
        <f>'FY 2009 Exp 01-06-10'!C5</f>
        <v>0</v>
      </c>
      <c r="T50" s="83">
        <f>SUM('FY 2009 Exp 01-06-10'!F5:H5)</f>
        <v>0</v>
      </c>
      <c r="U50" s="77" t="e">
        <f>T50/S50</f>
        <v>#DIV/0!</v>
      </c>
      <c r="V50" s="83">
        <f>'FY 2009 Exp 01-06-10'!D5</f>
        <v>433900</v>
      </c>
      <c r="W50" s="77">
        <f>T50/V50</f>
        <v>0</v>
      </c>
      <c r="X50" s="84">
        <f>S50-T50</f>
        <v>0</v>
      </c>
      <c r="Y50" s="83">
        <f>'FY 2008 Exp 01-06-10'!C5</f>
        <v>0</v>
      </c>
      <c r="Z50" s="83">
        <f>SUM('FY 2008 Exp 01-06-10'!F5:H5)</f>
        <v>0</v>
      </c>
      <c r="AA50" s="77" t="e">
        <f>Z50/Y50</f>
        <v>#DIV/0!</v>
      </c>
      <c r="AB50" s="83">
        <f>'FY 2008 Exp 01-06-10'!C5</f>
        <v>0</v>
      </c>
      <c r="AC50" s="77" t="e">
        <f>Z50/AB50</f>
        <v>#DIV/0!</v>
      </c>
      <c r="AD50" s="84">
        <f>Y50-Z50</f>
        <v>0</v>
      </c>
    </row>
    <row r="51" spans="1:30" ht="15.75" customHeight="1" thickBot="1">
      <c r="A51" s="181" t="s">
        <v>22</v>
      </c>
      <c r="B51" s="182"/>
      <c r="C51" s="20">
        <f>SUM(C48:C50)</f>
        <v>19232958</v>
      </c>
      <c r="D51" s="20">
        <f>SUM(D48:D50)</f>
        <v>3387465</v>
      </c>
      <c r="E51" s="12">
        <f>(D51/C51)</f>
        <v>0.17612813380032338</v>
      </c>
      <c r="F51" s="13">
        <f>+G51-D51</f>
        <v>1420774.5</v>
      </c>
      <c r="G51" s="14">
        <f>C51*0.25</f>
        <v>4808239.5</v>
      </c>
      <c r="J51" s="50"/>
      <c r="K51" s="82">
        <f>SUM(K48:K50)</f>
        <v>19232958</v>
      </c>
      <c r="L51" s="82">
        <f>SUM(L48:L50)</f>
        <v>3387465</v>
      </c>
      <c r="M51" s="132">
        <f>L51/K51</f>
        <v>0.17612813380032338</v>
      </c>
      <c r="N51" s="82">
        <f>SUM(N48:N50)</f>
        <v>15845493</v>
      </c>
      <c r="O51" s="82">
        <f>SUM(O48:O50)</f>
        <v>19391367</v>
      </c>
      <c r="P51" s="82">
        <f>SUM(P48:P50)</f>
        <v>2682467.56</v>
      </c>
      <c r="Q51" s="78">
        <f>(P51/O51)</f>
        <v>0.13833308193280031</v>
      </c>
      <c r="R51" s="82">
        <f>SUM(R48:R50)</f>
        <v>16708899.440000001</v>
      </c>
      <c r="S51" s="82">
        <f>SUM(S48:S50)</f>
        <v>19905381</v>
      </c>
      <c r="T51" s="82">
        <f>SUM(T48:T50)</f>
        <v>3894825.9599999995</v>
      </c>
      <c r="U51" s="78">
        <f>T51/S51</f>
        <v>0.19566698874038127</v>
      </c>
      <c r="V51" s="82">
        <f>SUM(V48:V50)</f>
        <v>23954511</v>
      </c>
      <c r="W51" s="78">
        <f>T51/V51</f>
        <v>0.16259258892823983</v>
      </c>
      <c r="X51" s="82">
        <f>SUM(X48:X50)</f>
        <v>16010555.040000001</v>
      </c>
      <c r="Y51" s="82">
        <f>SUM(Y48:Y50)</f>
        <v>17066914</v>
      </c>
      <c r="Z51" s="82">
        <f>SUM(Z48:Z50)</f>
        <v>2724025.14</v>
      </c>
      <c r="AA51" s="78">
        <f>Z51/Y51</f>
        <v>0.15960853497005961</v>
      </c>
      <c r="AB51" s="82">
        <f>SUM(AB48:AB50)</f>
        <v>17424169</v>
      </c>
      <c r="AC51" s="78">
        <f>Z51/AB51</f>
        <v>0.15633601464724087</v>
      </c>
      <c r="AD51" s="82">
        <f>SUM(AD48:AD50)</f>
        <v>14342888.859999999</v>
      </c>
    </row>
    <row r="52" spans="1:30" ht="15.75" customHeight="1" thickTop="1">
      <c r="A52" s="134"/>
      <c r="B52" s="134"/>
      <c r="C52" s="135"/>
      <c r="D52" s="135"/>
      <c r="E52" s="136"/>
      <c r="F52" s="23"/>
      <c r="G52" s="14"/>
      <c r="J52" s="50"/>
      <c r="K52" s="137"/>
      <c r="L52" s="137"/>
      <c r="M52" s="138"/>
      <c r="N52" s="24"/>
      <c r="O52" s="24"/>
      <c r="P52" s="24"/>
      <c r="Q52" s="136"/>
      <c r="R52" s="24"/>
      <c r="S52" s="24"/>
      <c r="T52" s="24"/>
      <c r="U52" s="136"/>
      <c r="V52" s="24"/>
      <c r="W52" s="136"/>
      <c r="X52" s="24"/>
      <c r="Y52" s="24"/>
      <c r="Z52" s="24"/>
      <c r="AA52" s="136"/>
      <c r="AB52" s="24"/>
      <c r="AC52" s="136"/>
      <c r="AD52" s="24"/>
    </row>
  </sheetData>
  <mergeCells count="17">
    <mergeCell ref="B3:D3"/>
    <mergeCell ref="A13:F13"/>
    <mergeCell ref="A16:B16"/>
    <mergeCell ref="A17:B17"/>
    <mergeCell ref="A18:B18"/>
    <mergeCell ref="A51:B51"/>
    <mergeCell ref="A14:F14"/>
    <mergeCell ref="A45:F45"/>
    <mergeCell ref="A50:B50"/>
    <mergeCell ref="A49:B49"/>
    <mergeCell ref="A20:B20"/>
    <mergeCell ref="A21:B21"/>
    <mergeCell ref="A22:B22"/>
    <mergeCell ref="A23:B23"/>
    <mergeCell ref="A47:B47"/>
    <mergeCell ref="A48:B48"/>
    <mergeCell ref="A19:B19"/>
  </mergeCells>
  <phoneticPr fontId="1" type="noConversion"/>
  <printOptions horizontalCentered="1"/>
  <pageMargins left="0.5" right="0.5" top="0.5" bottom="0.5" header="0.5" footer="0.5"/>
  <pageSetup orientation="portrait" r:id="rId1"/>
  <headerFooter alignWithMargins="0"/>
  <rowBreaks count="1" manualBreakCount="1">
    <brk id="79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view="pageBreakPreview" topLeftCell="F19" zoomScaleNormal="100" zoomScaleSheetLayoutView="100" workbookViewId="0">
      <selection activeCell="P48" sqref="P48:P50"/>
    </sheetView>
  </sheetViews>
  <sheetFormatPr defaultRowHeight="12.75"/>
  <cols>
    <col min="1" max="1" width="5.5" style="2" bestFit="1" customWidth="1"/>
    <col min="2" max="2" width="15" style="2" customWidth="1"/>
    <col min="3" max="3" width="16.75" style="2" customWidth="1"/>
    <col min="4" max="4" width="19.125" style="2" customWidth="1"/>
    <col min="5" max="5" width="7.7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2.5" style="2" bestFit="1" customWidth="1"/>
    <col min="12" max="12" width="10.25" style="2" bestFit="1" customWidth="1"/>
    <col min="13" max="13" width="10.25" style="2" customWidth="1"/>
    <col min="14" max="14" width="11.5" style="2" customWidth="1"/>
    <col min="15" max="15" width="11.125" style="2" bestFit="1" customWidth="1"/>
    <col min="16" max="16" width="13.25" style="2" bestFit="1" customWidth="1"/>
    <col min="17" max="17" width="10.25" style="2" customWidth="1"/>
    <col min="18" max="18" width="12.5" style="2" bestFit="1" customWidth="1"/>
    <col min="19" max="19" width="10.25" style="2" customWidth="1"/>
    <col min="20" max="20" width="12.5" style="2" bestFit="1" customWidth="1"/>
    <col min="21" max="21" width="11.125" style="2" bestFit="1" customWidth="1"/>
    <col min="22" max="23" width="10.75" style="2" customWidth="1"/>
    <col min="24" max="24" width="11.125" style="2" bestFit="1" customWidth="1"/>
    <col min="25" max="25" width="10.75" style="2" customWidth="1"/>
    <col min="26" max="26" width="12.5" style="2" bestFit="1" customWidth="1"/>
    <col min="27" max="16384" width="9" style="2"/>
  </cols>
  <sheetData>
    <row r="1" spans="1:21" ht="15.95" customHeight="1">
      <c r="E1" s="3"/>
      <c r="F1" s="3" t="s">
        <v>17</v>
      </c>
    </row>
    <row r="2" spans="1:21" ht="15.95" customHeight="1">
      <c r="E2" s="3"/>
      <c r="F2" s="3" t="s">
        <v>36</v>
      </c>
    </row>
    <row r="3" spans="1:21" ht="15.95" customHeight="1">
      <c r="B3" s="175" t="s">
        <v>30</v>
      </c>
      <c r="C3" s="175"/>
      <c r="D3" s="175"/>
      <c r="E3" s="3"/>
      <c r="F3" s="3" t="s">
        <v>37</v>
      </c>
    </row>
    <row r="4" spans="1:21" ht="15.95" customHeight="1">
      <c r="E4" s="3"/>
      <c r="F4" s="3" t="s">
        <v>38</v>
      </c>
    </row>
    <row r="5" spans="1:21" ht="15.95" customHeight="1">
      <c r="E5" s="3"/>
      <c r="F5" s="3" t="s">
        <v>18</v>
      </c>
    </row>
    <row r="6" spans="1:21" ht="15.75">
      <c r="A6" s="4"/>
      <c r="B6" s="4"/>
      <c r="C6" s="4"/>
      <c r="D6" s="5"/>
      <c r="E6" s="5"/>
      <c r="F6" s="4"/>
    </row>
    <row r="7" spans="1:21" ht="15.75">
      <c r="D7" s="3"/>
      <c r="E7" s="3"/>
    </row>
    <row r="8" spans="1:21" ht="19.5" customHeight="1">
      <c r="A8" s="6" t="s">
        <v>25</v>
      </c>
      <c r="B8" s="7" t="s">
        <v>26</v>
      </c>
    </row>
    <row r="9" spans="1:21" ht="19.5" customHeight="1">
      <c r="A9" s="6" t="s">
        <v>27</v>
      </c>
      <c r="B9" s="7" t="s">
        <v>64</v>
      </c>
    </row>
    <row r="10" spans="1:21" ht="19.5" customHeight="1">
      <c r="A10" s="6" t="s">
        <v>28</v>
      </c>
      <c r="B10" s="8">
        <v>40283</v>
      </c>
    </row>
    <row r="11" spans="1:21" ht="19.5" customHeight="1">
      <c r="A11" s="6" t="s">
        <v>29</v>
      </c>
      <c r="B11" s="7" t="s">
        <v>90</v>
      </c>
    </row>
    <row r="12" spans="1:21" ht="19.5" customHeight="1">
      <c r="A12" s="6"/>
      <c r="B12" s="7"/>
    </row>
    <row r="13" spans="1:21" ht="49.5" customHeight="1">
      <c r="A13" s="184"/>
      <c r="B13" s="184"/>
      <c r="C13" s="184"/>
      <c r="D13" s="184"/>
      <c r="E13" s="184"/>
      <c r="F13" s="184"/>
    </row>
    <row r="14" spans="1:21" ht="31.5" customHeight="1">
      <c r="A14" s="183" t="s">
        <v>87</v>
      </c>
      <c r="B14" s="183"/>
      <c r="C14" s="183"/>
      <c r="D14" s="183"/>
      <c r="E14" s="183"/>
      <c r="F14" s="183"/>
    </row>
    <row r="15" spans="1:21">
      <c r="K15" s="64"/>
      <c r="L15" s="64"/>
      <c r="M15" s="64"/>
      <c r="N15" s="64"/>
    </row>
    <row r="16" spans="1:21" ht="38.25">
      <c r="A16" s="185"/>
      <c r="B16" s="185"/>
      <c r="C16" s="9" t="s">
        <v>65</v>
      </c>
      <c r="D16" s="9" t="s">
        <v>33</v>
      </c>
      <c r="E16" s="9" t="s">
        <v>19</v>
      </c>
      <c r="F16" s="9" t="s">
        <v>91</v>
      </c>
      <c r="G16" s="10">
        <v>0.5</v>
      </c>
      <c r="H16" s="2" t="s">
        <v>31</v>
      </c>
      <c r="I16" s="10">
        <v>0.5</v>
      </c>
      <c r="K16" s="9" t="s">
        <v>65</v>
      </c>
      <c r="L16" s="9" t="s">
        <v>72</v>
      </c>
      <c r="M16" s="9">
        <v>2010</v>
      </c>
      <c r="N16" s="9" t="s">
        <v>1</v>
      </c>
      <c r="O16" s="9" t="s">
        <v>92</v>
      </c>
      <c r="P16" s="9" t="s">
        <v>76</v>
      </c>
      <c r="Q16" s="9">
        <v>2009</v>
      </c>
      <c r="R16" s="9" t="s">
        <v>74</v>
      </c>
      <c r="S16" s="9" t="s">
        <v>93</v>
      </c>
      <c r="T16" s="9" t="s">
        <v>77</v>
      </c>
      <c r="U16" s="9">
        <v>2008</v>
      </c>
    </row>
    <row r="17" spans="1:21" ht="15.75" customHeight="1">
      <c r="A17" s="186" t="s">
        <v>20</v>
      </c>
      <c r="B17" s="186"/>
      <c r="C17" s="11">
        <f>'FY 2010 Rev as of 01-15-10'!E3</f>
        <v>4337995</v>
      </c>
      <c r="D17" s="11">
        <f>'FY2010 Rev as of 04-06-10'!D3</f>
        <v>4196940.17</v>
      </c>
      <c r="E17" s="12">
        <f t="shared" ref="E17:E23" si="0">(D17/C17)</f>
        <v>0.96748386524189167</v>
      </c>
      <c r="F17" s="29">
        <f t="shared" ref="F17:F22" si="1">D17-G17</f>
        <v>2027942.67</v>
      </c>
      <c r="G17" s="14">
        <f>C17*0.5</f>
        <v>2168997.5</v>
      </c>
      <c r="H17" s="15">
        <f>C17-D17</f>
        <v>141054.83000000007</v>
      </c>
      <c r="I17" s="10">
        <v>0.5</v>
      </c>
      <c r="J17" s="21" t="str">
        <f t="shared" ref="J17:J22" si="2">A17</f>
        <v>Current / Delinquent Taxes</v>
      </c>
      <c r="K17" s="11">
        <f t="shared" ref="K17:L22" si="3">C17</f>
        <v>4337995</v>
      </c>
      <c r="L17" s="11">
        <f t="shared" si="3"/>
        <v>4196940.17</v>
      </c>
      <c r="M17" s="12">
        <f t="shared" ref="M17:M23" si="4">(L17/K17)</f>
        <v>0.96748386524189167</v>
      </c>
      <c r="N17" s="11">
        <f>'FY 2009 Rev 01-15-10'!E3</f>
        <v>4070011</v>
      </c>
      <c r="O17" s="11">
        <f>SUM('FY 2009 Rev 01-15-10'!F3:K3)</f>
        <v>3954561.81</v>
      </c>
      <c r="P17" s="11">
        <f>'FY 2009 Rev 01-15-10'!D3</f>
        <v>4095648.34</v>
      </c>
      <c r="Q17" s="12">
        <f t="shared" ref="Q17:Q23" si="5">O17/P17</f>
        <v>0.96555208887880262</v>
      </c>
      <c r="R17" s="11">
        <f>'FY 2008 Rev 01-15-10'!E3</f>
        <v>762480</v>
      </c>
      <c r="S17" s="11">
        <f>SUM('FY 2008 Rev 01-15-10'!F3:K3)</f>
        <v>756404.02</v>
      </c>
      <c r="T17" s="11">
        <f>'FY 2008 Rev 01-15-10'!D3</f>
        <v>788839.59</v>
      </c>
      <c r="U17" s="12">
        <f t="shared" ref="U17:U23" si="6">S17/T17</f>
        <v>0.95888191919982113</v>
      </c>
    </row>
    <row r="18" spans="1:21" ht="15.75" customHeight="1">
      <c r="A18" s="186" t="s">
        <v>66</v>
      </c>
      <c r="B18" s="186"/>
      <c r="C18" s="16">
        <f>'FY 2010 Rev as of 01-15-10'!E4</f>
        <v>1854</v>
      </c>
      <c r="D18" s="28">
        <f>'FY2010 Rev as of 04-06-10'!D5</f>
        <v>630</v>
      </c>
      <c r="E18" s="12">
        <f>(D18/C18)</f>
        <v>0.33980582524271846</v>
      </c>
      <c r="F18" s="22">
        <f>D18-G18</f>
        <v>-297</v>
      </c>
      <c r="G18" s="14">
        <f t="shared" ref="G18:G23" si="7">C18*0.5</f>
        <v>927</v>
      </c>
      <c r="H18" s="15">
        <f>C18-D18</f>
        <v>1224</v>
      </c>
      <c r="I18" s="10">
        <v>0.5</v>
      </c>
      <c r="J18" s="21" t="str">
        <f t="shared" si="2"/>
        <v>License / Permits</v>
      </c>
      <c r="K18" s="16">
        <f t="shared" si="3"/>
        <v>1854</v>
      </c>
      <c r="L18" s="28">
        <f t="shared" si="3"/>
        <v>630</v>
      </c>
      <c r="M18" s="12">
        <f t="shared" si="4"/>
        <v>0.33980582524271846</v>
      </c>
      <c r="N18" s="28">
        <f>'FY 2009 Rev 01-15-10'!E5</f>
        <v>3000</v>
      </c>
      <c r="O18" s="28">
        <f>SUM('FY 2009 Rev 01-15-10'!F5:K5)</f>
        <v>900</v>
      </c>
      <c r="P18" s="28">
        <f>'FY 2009 Rev 01-15-10'!D5</f>
        <v>1476</v>
      </c>
      <c r="Q18" s="12">
        <f t="shared" si="5"/>
        <v>0.6097560975609756</v>
      </c>
      <c r="R18" s="28">
        <f>'FY 2008 Rev 01-15-10'!E5</f>
        <v>7500</v>
      </c>
      <c r="S18" s="28">
        <f>SUM('FY 2008 Rev 01-15-10'!F5:K5)</f>
        <v>1260</v>
      </c>
      <c r="T18" s="28">
        <f>'FY 2008 Rev 01-15-10'!D5</f>
        <v>3209</v>
      </c>
      <c r="U18" s="12">
        <f t="shared" si="6"/>
        <v>0.39264568401371142</v>
      </c>
    </row>
    <row r="19" spans="1:21" ht="15.75" customHeight="1">
      <c r="A19" s="186" t="s">
        <v>2</v>
      </c>
      <c r="B19" s="186"/>
      <c r="C19" s="16">
        <f>'FY 2010 Rev as of 01-15-10'!E10</f>
        <v>12094490</v>
      </c>
      <c r="D19" s="28">
        <f>'FY2010 Rev as of 04-06-10'!D10</f>
        <v>5724813.4099999992</v>
      </c>
      <c r="E19" s="12">
        <f t="shared" si="0"/>
        <v>0.47334062122503712</v>
      </c>
      <c r="F19" s="22">
        <f t="shared" si="1"/>
        <v>-322431.59000000078</v>
      </c>
      <c r="G19" s="14">
        <f t="shared" si="7"/>
        <v>6047245</v>
      </c>
      <c r="H19" s="27">
        <f>C19-D19</f>
        <v>6369676.5900000008</v>
      </c>
      <c r="I19" s="10">
        <v>0.5</v>
      </c>
      <c r="J19" s="21" t="str">
        <f t="shared" si="2"/>
        <v>Fees/Charges for Services</v>
      </c>
      <c r="K19" s="16">
        <f t="shared" si="3"/>
        <v>12094490</v>
      </c>
      <c r="L19" s="28">
        <f t="shared" si="3"/>
        <v>5724813.4099999992</v>
      </c>
      <c r="M19" s="12">
        <f t="shared" si="4"/>
        <v>0.47334062122503712</v>
      </c>
      <c r="N19" s="28">
        <f>'FY 2009 Rev 01-15-10'!E10</f>
        <v>11806400</v>
      </c>
      <c r="O19" s="28">
        <f>SUM('FY 2009 Rev 01-15-10'!F10:K10)</f>
        <v>6735300.7800000003</v>
      </c>
      <c r="P19" s="28">
        <f>'FY 2009 Rev 01-15-10'!D10</f>
        <v>13237833.390000001</v>
      </c>
      <c r="Q19" s="12">
        <f t="shared" si="5"/>
        <v>0.50879177744357451</v>
      </c>
      <c r="R19" s="28">
        <f>'FY 2008 Rev 01-15-10'!E10</f>
        <v>11740700</v>
      </c>
      <c r="S19" s="28">
        <f>SUM('FY 2008 Rev 01-15-10'!F10:K10)</f>
        <v>7275137.5700000012</v>
      </c>
      <c r="T19" s="28">
        <f>'FY 2008 Rev 01-15-10'!D10</f>
        <v>13297241.34</v>
      </c>
      <c r="U19" s="12">
        <f t="shared" si="6"/>
        <v>0.54711630660679589</v>
      </c>
    </row>
    <row r="20" spans="1:21" ht="15.75" customHeight="1">
      <c r="A20" s="186" t="s">
        <v>4</v>
      </c>
      <c r="B20" s="186"/>
      <c r="C20" s="16">
        <f>'FY 2010 Rev as of 01-15-10'!E12</f>
        <v>2295355</v>
      </c>
      <c r="D20" s="28">
        <f>'FY2010 Rev as of 04-06-10'!D12</f>
        <v>853428.09</v>
      </c>
      <c r="E20" s="12">
        <f t="shared" si="0"/>
        <v>0.37180657893876978</v>
      </c>
      <c r="F20" s="22">
        <f t="shared" si="1"/>
        <v>-294249.41000000003</v>
      </c>
      <c r="G20" s="14">
        <f t="shared" si="7"/>
        <v>1147677.5</v>
      </c>
      <c r="H20" s="27">
        <f>C20-D20</f>
        <v>1441926.9100000001</v>
      </c>
      <c r="I20" s="10">
        <v>0.5</v>
      </c>
      <c r="J20" s="21" t="str">
        <f t="shared" si="2"/>
        <v>Fines</v>
      </c>
      <c r="K20" s="16">
        <f t="shared" si="3"/>
        <v>2295355</v>
      </c>
      <c r="L20" s="28">
        <f t="shared" si="3"/>
        <v>853428.09</v>
      </c>
      <c r="M20" s="12">
        <f t="shared" si="4"/>
        <v>0.37180657893876978</v>
      </c>
      <c r="N20" s="28">
        <f>'FY 2009 Rev 01-15-10'!E12</f>
        <v>1904500</v>
      </c>
      <c r="O20" s="28">
        <f>SUM('FY 2009 Rev 01-15-10'!F12:K12)</f>
        <v>1065360.77</v>
      </c>
      <c r="P20" s="28">
        <f>'FY 2009 Rev 01-15-10'!D12</f>
        <v>2213669.08</v>
      </c>
      <c r="Q20" s="12">
        <f t="shared" si="5"/>
        <v>0.48126469291426338</v>
      </c>
      <c r="R20" s="28">
        <f>'FY 2008 Rev 01-15-10'!E12</f>
        <v>2042325</v>
      </c>
      <c r="S20" s="28">
        <f>SUM('FY 2008 Rev 01-15-10'!F12:K12)</f>
        <v>382505.06000000006</v>
      </c>
      <c r="T20" s="28">
        <f>'FY 2008 Rev 01-15-10'!D12</f>
        <v>2340429.91</v>
      </c>
      <c r="U20" s="12">
        <f t="shared" si="6"/>
        <v>0.1634336744568437</v>
      </c>
    </row>
    <row r="21" spans="1:21" ht="15.75" customHeight="1">
      <c r="A21" s="186" t="s">
        <v>3</v>
      </c>
      <c r="B21" s="186"/>
      <c r="C21" s="16">
        <f>'FY 2010 Rev as of 01-15-10'!E14</f>
        <v>280881</v>
      </c>
      <c r="D21" s="28">
        <f>'FY2010 Rev as of 04-06-10'!D14</f>
        <v>93456.47</v>
      </c>
      <c r="E21" s="12">
        <f t="shared" si="0"/>
        <v>0.33272620789587048</v>
      </c>
      <c r="F21" s="22">
        <f t="shared" si="1"/>
        <v>-46984.03</v>
      </c>
      <c r="G21" s="14">
        <f t="shared" si="7"/>
        <v>140440.5</v>
      </c>
      <c r="H21" s="27">
        <f>C21-D21</f>
        <v>187424.53</v>
      </c>
      <c r="I21" s="10">
        <v>0.5</v>
      </c>
      <c r="J21" s="21" t="str">
        <f t="shared" si="2"/>
        <v>Investment Revenue</v>
      </c>
      <c r="K21" s="16">
        <f t="shared" si="3"/>
        <v>280881</v>
      </c>
      <c r="L21" s="28">
        <f t="shared" si="3"/>
        <v>93456.47</v>
      </c>
      <c r="M21" s="12">
        <f t="shared" si="4"/>
        <v>0.33272620789587048</v>
      </c>
      <c r="N21" s="28">
        <f>'FY 2009 Rev 01-15-10'!E14</f>
        <v>305000</v>
      </c>
      <c r="O21" s="28">
        <f>SUM('FY 2009 Rev 01-15-10'!F14:K14)</f>
        <v>142656.41999999998</v>
      </c>
      <c r="P21" s="28">
        <f>'FY 2009 Rev 01-15-10'!D14</f>
        <v>284617.61</v>
      </c>
      <c r="Q21" s="12">
        <f t="shared" si="5"/>
        <v>0.50122134045043798</v>
      </c>
      <c r="R21" s="28">
        <f>'FY 2008 Rev 01-15-10'!E14</f>
        <v>572500</v>
      </c>
      <c r="S21" s="28">
        <f>SUM('FY 2008 Rev 01-15-10'!F14:K14)</f>
        <v>224414.43</v>
      </c>
      <c r="T21" s="28">
        <f>'FY 2008 Rev 01-15-10'!D14</f>
        <v>457042.89</v>
      </c>
      <c r="U21" s="12">
        <f t="shared" si="6"/>
        <v>0.49101393963266771</v>
      </c>
    </row>
    <row r="22" spans="1:21" ht="15.75" customHeight="1" thickBot="1">
      <c r="A22" s="186" t="s">
        <v>21</v>
      </c>
      <c r="B22" s="186"/>
      <c r="C22" s="16">
        <f>'FY 2010 Rev as of 01-15-10'!E16+'FY 2010 Rev as of 01-15-10'!E18+'FY 2010 Rev as of 01-15-10'!E20</f>
        <v>25400</v>
      </c>
      <c r="D22" s="28">
        <f>'FY2010 Rev as of 04-06-10'!D16+'FY2010 Rev as of 04-06-10'!D18+'FY2010 Rev as of 04-06-10'!D20</f>
        <v>37758.550000000003</v>
      </c>
      <c r="E22" s="12">
        <f t="shared" si="0"/>
        <v>1.4865570866141733</v>
      </c>
      <c r="F22" s="22">
        <f t="shared" si="1"/>
        <v>25058.550000000003</v>
      </c>
      <c r="G22" s="14">
        <f t="shared" si="7"/>
        <v>12700</v>
      </c>
      <c r="H22" s="125">
        <v>0</v>
      </c>
      <c r="I22" s="10">
        <v>0.5</v>
      </c>
      <c r="J22" s="21" t="str">
        <f t="shared" si="2"/>
        <v>Miscellaneous</v>
      </c>
      <c r="K22" s="52">
        <f t="shared" si="3"/>
        <v>25400</v>
      </c>
      <c r="L22" s="53">
        <f t="shared" si="3"/>
        <v>37758.550000000003</v>
      </c>
      <c r="M22" s="77">
        <f t="shared" si="4"/>
        <v>1.4865570866141733</v>
      </c>
      <c r="N22" s="53">
        <f>'FY 2009 Rev 01-15-10'!E16+'FY 2009 Rev 01-15-10'!E18+'FY 2009 Rev 01-15-10'!E20</f>
        <v>117000</v>
      </c>
      <c r="O22" s="53">
        <f>SUM('FY 2009 Rev 01-15-10'!F16:K16,'FY 2009 Rev 01-15-10'!F18:K18,'FY 2009 Rev 01-15-10'!F20:K20)</f>
        <v>14288.72</v>
      </c>
      <c r="P22" s="53">
        <f>'FY 2009 Rev 01-15-10'!D16+'FY 2009 Rev 01-15-10'!D18+'FY 2009 Rev 01-15-10'!D20</f>
        <v>65838.240000000005</v>
      </c>
      <c r="Q22" s="77">
        <f t="shared" si="5"/>
        <v>0.21702767267168743</v>
      </c>
      <c r="R22" s="53">
        <f>'FY 2008 Rev 01-15-10'!E16+'FY 2008 Rev 01-15-10'!E18+'FY 2008 Rev 01-15-10'!E20</f>
        <v>90000</v>
      </c>
      <c r="S22" s="53">
        <f>SUM('FY 2008 Rev 01-15-10'!F16:K16,'FY 2008 Rev 01-15-10'!F18:K18,'FY 2008 Rev 01-15-10'!F20:K20)</f>
        <v>318181.45999999996</v>
      </c>
      <c r="T22" s="53">
        <f>'FY 2008 Rev 01-15-10'!D16+'FY 2008 Rev 01-15-10'!D18+'FY 2008 Rev 01-15-10'!D20</f>
        <v>363410.55000000005</v>
      </c>
      <c r="U22" s="77">
        <f t="shared" si="6"/>
        <v>0.87554271608240297</v>
      </c>
    </row>
    <row r="23" spans="1:21" ht="15.75" customHeight="1" thickBot="1">
      <c r="A23" s="187" t="s">
        <v>22</v>
      </c>
      <c r="B23" s="187"/>
      <c r="C23" s="11">
        <f>SUM(C17:C22)</f>
        <v>19035975</v>
      </c>
      <c r="D23" s="11">
        <f>SUM(D17:D22)</f>
        <v>10907026.689999999</v>
      </c>
      <c r="E23" s="12">
        <f t="shared" si="0"/>
        <v>0.57296916443733503</v>
      </c>
      <c r="F23" s="17">
        <f>SUM(F17:F22)</f>
        <v>1389039.189999999</v>
      </c>
      <c r="G23" s="14">
        <f t="shared" si="7"/>
        <v>9517987.5</v>
      </c>
      <c r="H23" s="27"/>
      <c r="J23" s="21"/>
      <c r="K23" s="51">
        <f>SUM(K17:K22)</f>
        <v>19035975</v>
      </c>
      <c r="L23" s="51">
        <f>SUM(L17:L22)</f>
        <v>10907026.689999999</v>
      </c>
      <c r="M23" s="78">
        <f t="shared" si="4"/>
        <v>0.57296916443733503</v>
      </c>
      <c r="N23" s="51">
        <f>SUM(N17:N22)</f>
        <v>18205911</v>
      </c>
      <c r="O23" s="51">
        <f>SUM(O17:O22)</f>
        <v>11913068.5</v>
      </c>
      <c r="P23" s="51">
        <f>SUM(P17:P22)</f>
        <v>19899082.66</v>
      </c>
      <c r="Q23" s="78">
        <f t="shared" si="5"/>
        <v>0.59867425567043697</v>
      </c>
      <c r="R23" s="51">
        <f>SUM(R17:R22)</f>
        <v>15215505</v>
      </c>
      <c r="S23" s="51">
        <f>SUM(S17:S22)</f>
        <v>8957902.5400000028</v>
      </c>
      <c r="T23" s="51">
        <f>SUM(T17:T22)</f>
        <v>17250173.280000001</v>
      </c>
      <c r="U23" s="78">
        <f t="shared" si="6"/>
        <v>0.51929348155510247</v>
      </c>
    </row>
    <row r="24" spans="1:21" ht="22.5" customHeight="1" thickTop="1">
      <c r="J24" s="21"/>
      <c r="K24" s="26"/>
    </row>
    <row r="25" spans="1:21">
      <c r="J25" s="21"/>
      <c r="K25" s="26"/>
    </row>
    <row r="39" spans="1:26">
      <c r="J39" s="65"/>
      <c r="K39" s="65"/>
    </row>
    <row r="40" spans="1:26">
      <c r="J40" s="65"/>
      <c r="K40" s="65"/>
    </row>
    <row r="41" spans="1:26">
      <c r="J41" s="65"/>
      <c r="K41" s="65"/>
    </row>
    <row r="42" spans="1:26">
      <c r="J42" s="65"/>
      <c r="K42" s="65"/>
    </row>
    <row r="43" spans="1:26">
      <c r="J43" s="65"/>
      <c r="K43" s="65"/>
    </row>
    <row r="44" spans="1:26">
      <c r="J44" s="65"/>
      <c r="K44" s="65"/>
    </row>
    <row r="45" spans="1:26" ht="33" customHeight="1">
      <c r="A45" s="183" t="s">
        <v>88</v>
      </c>
      <c r="B45" s="183"/>
      <c r="C45" s="183"/>
      <c r="D45" s="183"/>
      <c r="E45" s="183"/>
      <c r="F45" s="183"/>
      <c r="J45" s="65"/>
      <c r="K45" s="65"/>
    </row>
    <row r="46" spans="1:26" ht="12" customHeight="1">
      <c r="B46" s="18"/>
      <c r="C46" s="18"/>
      <c r="D46" s="18"/>
      <c r="E46" s="18"/>
      <c r="J46" s="65"/>
      <c r="K46" s="65"/>
    </row>
    <row r="47" spans="1:26" ht="36" customHeight="1">
      <c r="A47" s="178"/>
      <c r="B47" s="178"/>
      <c r="C47" s="19" t="s">
        <v>65</v>
      </c>
      <c r="D47" s="19" t="s">
        <v>34</v>
      </c>
      <c r="E47" s="19" t="s">
        <v>19</v>
      </c>
      <c r="F47" s="9" t="s">
        <v>91</v>
      </c>
      <c r="G47" s="10">
        <v>0.5</v>
      </c>
      <c r="H47" s="2" t="s">
        <v>32</v>
      </c>
      <c r="K47" s="79" t="s">
        <v>65</v>
      </c>
      <c r="L47" s="75" t="s">
        <v>78</v>
      </c>
      <c r="M47" s="76">
        <v>2010</v>
      </c>
      <c r="N47" s="75" t="s">
        <v>79</v>
      </c>
      <c r="O47" s="75" t="s">
        <v>1</v>
      </c>
      <c r="P47" s="75" t="s">
        <v>94</v>
      </c>
      <c r="Q47" s="76">
        <v>2009</v>
      </c>
      <c r="R47" s="75" t="s">
        <v>81</v>
      </c>
      <c r="S47" s="75">
        <v>2009</v>
      </c>
      <c r="T47" s="75" t="s">
        <v>82</v>
      </c>
      <c r="U47" s="75" t="s">
        <v>74</v>
      </c>
      <c r="V47" s="75" t="s">
        <v>95</v>
      </c>
      <c r="W47" s="76">
        <v>2008</v>
      </c>
      <c r="X47" s="75" t="s">
        <v>84</v>
      </c>
      <c r="Y47" s="75">
        <v>2008</v>
      </c>
      <c r="Z47" s="75" t="s">
        <v>85</v>
      </c>
    </row>
    <row r="48" spans="1:26" ht="15.75" customHeight="1">
      <c r="A48" s="179" t="s">
        <v>23</v>
      </c>
      <c r="B48" s="180"/>
      <c r="C48" s="11">
        <f>'FY 2010 Exp as of 01-06-10'!C2</f>
        <v>44035</v>
      </c>
      <c r="D48" s="11">
        <f>'FY2010 Exp as of 04-06-10'!E2</f>
        <v>1783.36</v>
      </c>
      <c r="E48" s="12">
        <f>(D48/C48)</f>
        <v>4.0498694220506413E-2</v>
      </c>
      <c r="F48" s="11">
        <f>+G48-D48</f>
        <v>20234.14</v>
      </c>
      <c r="G48" s="23">
        <f>C48*0.5</f>
        <v>22017.5</v>
      </c>
      <c r="H48" s="24">
        <f>C48-D48</f>
        <v>42251.64</v>
      </c>
      <c r="I48" s="1">
        <v>0.5</v>
      </c>
      <c r="J48" s="65" t="str">
        <f>A48</f>
        <v>Conservation</v>
      </c>
      <c r="K48" s="13">
        <f t="shared" ref="K48:L50" si="8">C48</f>
        <v>44035</v>
      </c>
      <c r="L48" s="13">
        <f t="shared" si="8"/>
        <v>1783.36</v>
      </c>
      <c r="M48" s="80">
        <f>(L48/K48)</f>
        <v>4.0498694220506413E-2</v>
      </c>
      <c r="N48" s="13">
        <f>K48-L48</f>
        <v>42251.64</v>
      </c>
      <c r="O48" s="13">
        <f>'FY 2009 Exp 01-06-10'!C2</f>
        <v>44035</v>
      </c>
      <c r="P48" s="13">
        <f>SUM('FY 2009 Exp 01-06-10'!F2:K2)</f>
        <v>34213.74</v>
      </c>
      <c r="Q48" s="80">
        <f>P48/O48</f>
        <v>0.77696695810151006</v>
      </c>
      <c r="R48" s="13">
        <f>'FY 2009 Exp 01-06-10'!D2</f>
        <v>217718</v>
      </c>
      <c r="S48" s="80">
        <f>P48/R48</f>
        <v>0.1571470434231437</v>
      </c>
      <c r="T48" s="13">
        <f>O48-P48</f>
        <v>9821.260000000002</v>
      </c>
      <c r="U48" s="13">
        <f>'FY 2008 Exp 01-06-10'!C2</f>
        <v>44035</v>
      </c>
      <c r="V48" s="13">
        <f>SUM('FY 2008 Exp 01-06-10'!F2:K2)</f>
        <v>22262.080000000002</v>
      </c>
      <c r="W48" s="80">
        <f>V48/U48</f>
        <v>0.50555421823549451</v>
      </c>
      <c r="X48" s="13">
        <f>'FY 2008 Exp 01-06-10'!D2</f>
        <v>401290</v>
      </c>
      <c r="Y48" s="80">
        <f>V48/X48</f>
        <v>5.547628896807795E-2</v>
      </c>
      <c r="Z48" s="13">
        <f>U48-V48</f>
        <v>21772.92</v>
      </c>
    </row>
    <row r="49" spans="1:26" ht="15.75" customHeight="1">
      <c r="A49" s="179" t="s">
        <v>89</v>
      </c>
      <c r="B49" s="180"/>
      <c r="C49" s="11">
        <f>'FY 2010 Exp as of 01-06-10'!C4</f>
        <v>19347332</v>
      </c>
      <c r="D49" s="28">
        <f>'FY2010 Exp as of 04-06-10'!E4</f>
        <v>6630607.8399999999</v>
      </c>
      <c r="E49" s="12">
        <f>(D49/C49)</f>
        <v>0.34271432567549881</v>
      </c>
      <c r="F49" s="28">
        <f>+G49-D49</f>
        <v>3043058.16</v>
      </c>
      <c r="G49" s="25">
        <f>C49*0.5</f>
        <v>9673666</v>
      </c>
      <c r="H49" s="25">
        <f>C49-D49</f>
        <v>12716724.16</v>
      </c>
      <c r="I49" s="1">
        <v>0.5</v>
      </c>
      <c r="J49" s="65" t="str">
        <f>A49</f>
        <v>Public Transportation</v>
      </c>
      <c r="K49" s="81">
        <f t="shared" si="8"/>
        <v>19347332</v>
      </c>
      <c r="L49" s="81">
        <f t="shared" si="8"/>
        <v>6630607.8399999999</v>
      </c>
      <c r="M49" s="80">
        <f>(L49/K49)</f>
        <v>0.34271432567549881</v>
      </c>
      <c r="N49" s="81">
        <f>K49-L49</f>
        <v>12716724.16</v>
      </c>
      <c r="O49" s="81">
        <f>'FY 2009 Exp 01-06-10'!C4</f>
        <v>19861346</v>
      </c>
      <c r="P49" s="81">
        <f>SUM('FY 2009 Exp 01-06-10'!F4:K4)</f>
        <v>6873001.1399999997</v>
      </c>
      <c r="Q49" s="80">
        <f>P49/O49</f>
        <v>0.3460491116765198</v>
      </c>
      <c r="R49" s="81">
        <f>'FY 2009 Exp 01-06-10'!D4</f>
        <v>23302893</v>
      </c>
      <c r="S49" s="80">
        <f>P49/R49</f>
        <v>0.29494196879331674</v>
      </c>
      <c r="T49" s="13">
        <f>O49-P49</f>
        <v>12988344.859999999</v>
      </c>
      <c r="U49" s="81">
        <f>'FY 2008 Exp 01-06-10'!C4</f>
        <v>17022879</v>
      </c>
      <c r="V49" s="81">
        <f>SUM('FY 2008 Exp 01-06-10'!F4:K4)</f>
        <v>7347501.3100000005</v>
      </c>
      <c r="W49" s="80">
        <f>V49/U49</f>
        <v>0.43162506823904467</v>
      </c>
      <c r="X49" s="81">
        <f>'FY 2008 Exp 01-06-10'!D4</f>
        <v>20274507</v>
      </c>
      <c r="Y49" s="80">
        <f>V49/X49</f>
        <v>0.36240098513862756</v>
      </c>
      <c r="Z49" s="13">
        <f>U49-V49</f>
        <v>9675377.6899999995</v>
      </c>
    </row>
    <row r="50" spans="1:26" ht="15.75" customHeight="1" thickBot="1">
      <c r="A50" s="179" t="s">
        <v>24</v>
      </c>
      <c r="B50" s="180"/>
      <c r="C50" s="11">
        <f>'FY 2010 Exp as of 01-06-10'!C5</f>
        <v>0</v>
      </c>
      <c r="D50" s="28">
        <f>'FY2010 Exp as of 04-06-10'!E5</f>
        <v>0</v>
      </c>
      <c r="E50" s="12">
        <v>0</v>
      </c>
      <c r="F50" s="28">
        <f>+G50-D50</f>
        <v>0</v>
      </c>
      <c r="G50" s="25">
        <f>C50*0.5</f>
        <v>0</v>
      </c>
      <c r="H50" s="25">
        <f>C50-D50</f>
        <v>0</v>
      </c>
      <c r="I50" s="1">
        <v>0.5</v>
      </c>
      <c r="J50" s="65" t="str">
        <f>A50</f>
        <v>Transfers</v>
      </c>
      <c r="K50" s="83">
        <f t="shared" si="8"/>
        <v>0</v>
      </c>
      <c r="L50" s="83">
        <f t="shared" si="8"/>
        <v>0</v>
      </c>
      <c r="M50" s="77" t="e">
        <f>(L50/K50)</f>
        <v>#DIV/0!</v>
      </c>
      <c r="N50" s="83">
        <f>K50-L50</f>
        <v>0</v>
      </c>
      <c r="O50" s="83">
        <f>'FY 2009 Exp 01-06-10'!C5</f>
        <v>0</v>
      </c>
      <c r="P50" s="83">
        <f>SUM('FY 2009 Exp 01-06-10'!F5:K5)</f>
        <v>0</v>
      </c>
      <c r="Q50" s="77" t="e">
        <f>P50/O50</f>
        <v>#DIV/0!</v>
      </c>
      <c r="R50" s="83">
        <f>'FY 2009 Exp 01-06-10'!D5</f>
        <v>433900</v>
      </c>
      <c r="S50" s="77">
        <f>P50/R50</f>
        <v>0</v>
      </c>
      <c r="T50" s="84">
        <f>O50-P50</f>
        <v>0</v>
      </c>
      <c r="U50" s="83">
        <f>'FY 2008 Exp 01-06-10'!C5</f>
        <v>0</v>
      </c>
      <c r="V50" s="83">
        <f>SUM('FY 2008 Exp 01-06-10'!F5:K5)</f>
        <v>0</v>
      </c>
      <c r="W50" s="77" t="e">
        <f>V50/U50</f>
        <v>#DIV/0!</v>
      </c>
      <c r="X50" s="83">
        <f>'FY 2008 Exp 01-06-10'!D5</f>
        <v>0</v>
      </c>
      <c r="Y50" s="77" t="e">
        <f>V50/X50</f>
        <v>#DIV/0!</v>
      </c>
      <c r="Z50" s="84">
        <f>U50-V50</f>
        <v>0</v>
      </c>
    </row>
    <row r="51" spans="1:26" ht="15.75" customHeight="1" thickBot="1">
      <c r="A51" s="181" t="s">
        <v>22</v>
      </c>
      <c r="B51" s="182"/>
      <c r="C51" s="20">
        <f>SUM(C48:C50)</f>
        <v>19391367</v>
      </c>
      <c r="D51" s="20">
        <f>SUM(D48:D50)</f>
        <v>6632391.2000000002</v>
      </c>
      <c r="E51" s="12">
        <f>(D51/C51)</f>
        <v>0.34202803752824645</v>
      </c>
      <c r="F51" s="13">
        <f>+G51-D51</f>
        <v>3063292.3</v>
      </c>
      <c r="G51" s="14">
        <f>C51*0.5</f>
        <v>9695683.5</v>
      </c>
      <c r="H51" s="25">
        <f>C51-D51</f>
        <v>12758975.800000001</v>
      </c>
      <c r="I51" s="1">
        <v>0.5</v>
      </c>
      <c r="J51" s="50"/>
      <c r="K51" s="82">
        <f>SUM(K48:K50)</f>
        <v>19391367</v>
      </c>
      <c r="L51" s="82">
        <f>SUM(L48:L50)</f>
        <v>6632391.2000000002</v>
      </c>
      <c r="M51" s="78">
        <f>(L51/K51)</f>
        <v>0.34202803752824645</v>
      </c>
      <c r="N51" s="82">
        <f>SUM(N48:N50)</f>
        <v>12758975.800000001</v>
      </c>
      <c r="O51" s="82">
        <f>SUM(O48:O50)</f>
        <v>19905381</v>
      </c>
      <c r="P51" s="82">
        <f>SUM(P48:P50)</f>
        <v>6907214.8799999999</v>
      </c>
      <c r="Q51" s="78">
        <f>P51/O51</f>
        <v>0.34700239498053315</v>
      </c>
      <c r="R51" s="82">
        <f>SUM(R48:R50)</f>
        <v>23954511</v>
      </c>
      <c r="S51" s="78">
        <f>P51/R51</f>
        <v>0.28834714597179628</v>
      </c>
      <c r="T51" s="82">
        <f>SUM(T48:T50)</f>
        <v>12998166.119999999</v>
      </c>
      <c r="U51" s="82">
        <f>SUM(U48:U50)</f>
        <v>17066914</v>
      </c>
      <c r="V51" s="82">
        <f>SUM(V48:V50)</f>
        <v>7369763.3900000006</v>
      </c>
      <c r="W51" s="78">
        <f>V51/U51</f>
        <v>0.4318158156770463</v>
      </c>
      <c r="X51" s="82">
        <f>SUM(X48:X50)</f>
        <v>20675797</v>
      </c>
      <c r="Y51" s="78">
        <f>V51/X51</f>
        <v>0.3564439808535555</v>
      </c>
      <c r="Z51" s="82">
        <f>SUM(Z48:Z50)</f>
        <v>9697150.6099999994</v>
      </c>
    </row>
    <row r="52" spans="1:26" ht="13.5" thickTop="1"/>
  </sheetData>
  <mergeCells count="17">
    <mergeCell ref="A45:F45"/>
    <mergeCell ref="B3:D3"/>
    <mergeCell ref="A13:F13"/>
    <mergeCell ref="A14:F14"/>
    <mergeCell ref="A16:B16"/>
    <mergeCell ref="A17:B17"/>
    <mergeCell ref="A18:B18"/>
    <mergeCell ref="A19:B19"/>
    <mergeCell ref="A20:B20"/>
    <mergeCell ref="A21:B21"/>
    <mergeCell ref="A22:B22"/>
    <mergeCell ref="A23:B23"/>
    <mergeCell ref="A47:B47"/>
    <mergeCell ref="A48:B48"/>
    <mergeCell ref="A49:B49"/>
    <mergeCell ref="A50:B50"/>
    <mergeCell ref="A51:B51"/>
  </mergeCells>
  <pageMargins left="0.7" right="0.7" top="0.75" bottom="0.75" header="0.3" footer="0.3"/>
  <pageSetup scale="99" orientation="portrait" horizontalDpi="1200" verticalDpi="1200" r:id="rId1"/>
  <rowBreaks count="2" manualBreakCount="2">
    <brk id="44" max="16383" man="1"/>
    <brk id="78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view="pageBreakPreview" topLeftCell="I22" zoomScaleNormal="100" zoomScaleSheetLayoutView="100" workbookViewId="0">
      <selection activeCell="P48" sqref="P48:P50"/>
    </sheetView>
  </sheetViews>
  <sheetFormatPr defaultRowHeight="12.75"/>
  <cols>
    <col min="1" max="1" width="5.5" style="2" bestFit="1" customWidth="1"/>
    <col min="2" max="2" width="15" style="2" customWidth="1"/>
    <col min="3" max="3" width="16.75" style="2" customWidth="1"/>
    <col min="4" max="4" width="19.125" style="2" customWidth="1"/>
    <col min="5" max="5" width="7.7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2.5" style="2" bestFit="1" customWidth="1"/>
    <col min="12" max="12" width="10.25" style="2" bestFit="1" customWidth="1"/>
    <col min="13" max="13" width="10.25" style="2" customWidth="1"/>
    <col min="14" max="14" width="11.5" style="2" customWidth="1"/>
    <col min="15" max="15" width="11.125" style="2" bestFit="1" customWidth="1"/>
    <col min="16" max="16" width="13.25" style="2" bestFit="1" customWidth="1"/>
    <col min="17" max="17" width="10.25" style="2" customWidth="1"/>
    <col min="18" max="18" width="12.5" style="2" bestFit="1" customWidth="1"/>
    <col min="19" max="19" width="10.25" style="2" customWidth="1"/>
    <col min="20" max="20" width="12.5" style="2" bestFit="1" customWidth="1"/>
    <col min="21" max="21" width="11.125" style="2" bestFit="1" customWidth="1"/>
    <col min="22" max="23" width="10.75" style="2" customWidth="1"/>
    <col min="24" max="24" width="11.125" style="2" bestFit="1" customWidth="1"/>
    <col min="25" max="25" width="10.75" style="2" customWidth="1"/>
    <col min="26" max="26" width="12.5" style="2" bestFit="1" customWidth="1"/>
    <col min="27" max="16384" width="9" style="2"/>
  </cols>
  <sheetData>
    <row r="1" spans="1:21" ht="15.95" customHeight="1">
      <c r="E1" s="3"/>
      <c r="F1" s="3" t="s">
        <v>17</v>
      </c>
    </row>
    <row r="2" spans="1:21" ht="15.95" customHeight="1">
      <c r="E2" s="3"/>
      <c r="F2" s="3" t="s">
        <v>36</v>
      </c>
    </row>
    <row r="3" spans="1:21" ht="15.95" customHeight="1">
      <c r="B3" s="175" t="s">
        <v>30</v>
      </c>
      <c r="C3" s="175"/>
      <c r="D3" s="175"/>
      <c r="E3" s="3"/>
      <c r="F3" s="3" t="s">
        <v>37</v>
      </c>
    </row>
    <row r="4" spans="1:21" ht="15.95" customHeight="1">
      <c r="E4" s="3"/>
      <c r="F4" s="3" t="s">
        <v>38</v>
      </c>
    </row>
    <row r="5" spans="1:21" ht="15.95" customHeight="1">
      <c r="E5" s="3"/>
      <c r="F5" s="3" t="s">
        <v>18</v>
      </c>
    </row>
    <row r="6" spans="1:21" ht="15.75">
      <c r="A6" s="4"/>
      <c r="B6" s="4"/>
      <c r="C6" s="4"/>
      <c r="D6" s="5"/>
      <c r="E6" s="5"/>
      <c r="F6" s="4"/>
    </row>
    <row r="7" spans="1:21" ht="15.75">
      <c r="D7" s="3"/>
      <c r="E7" s="3"/>
    </row>
    <row r="8" spans="1:21" ht="19.5" customHeight="1">
      <c r="A8" s="6" t="s">
        <v>25</v>
      </c>
      <c r="B8" s="7" t="s">
        <v>26</v>
      </c>
    </row>
    <row r="9" spans="1:21" ht="19.5" customHeight="1">
      <c r="A9" s="6" t="s">
        <v>27</v>
      </c>
      <c r="B9" s="7" t="s">
        <v>64</v>
      </c>
    </row>
    <row r="10" spans="1:21" ht="19.5" customHeight="1">
      <c r="A10" s="6" t="s">
        <v>28</v>
      </c>
      <c r="B10" s="8">
        <v>40374</v>
      </c>
    </row>
    <row r="11" spans="1:21" ht="19.5" customHeight="1">
      <c r="A11" s="6" t="s">
        <v>29</v>
      </c>
      <c r="B11" s="7" t="s">
        <v>96</v>
      </c>
    </row>
    <row r="12" spans="1:21" ht="19.5" customHeight="1">
      <c r="A12" s="6"/>
      <c r="B12" s="7"/>
    </row>
    <row r="13" spans="1:21" ht="22.5" customHeight="1">
      <c r="A13" s="184"/>
      <c r="B13" s="184"/>
      <c r="C13" s="184"/>
      <c r="D13" s="184"/>
      <c r="E13" s="184"/>
      <c r="F13" s="184"/>
    </row>
    <row r="14" spans="1:21" ht="31.5" customHeight="1">
      <c r="A14" s="183" t="s">
        <v>87</v>
      </c>
      <c r="B14" s="183"/>
      <c r="C14" s="183"/>
      <c r="D14" s="183"/>
      <c r="E14" s="183"/>
      <c r="F14" s="183"/>
    </row>
    <row r="15" spans="1:21">
      <c r="K15" s="64"/>
      <c r="L15" s="64"/>
      <c r="M15" s="64"/>
      <c r="N15" s="64"/>
    </row>
    <row r="16" spans="1:21" ht="51">
      <c r="A16" s="185"/>
      <c r="B16" s="185"/>
      <c r="C16" s="9" t="s">
        <v>65</v>
      </c>
      <c r="D16" s="9" t="s">
        <v>33</v>
      </c>
      <c r="E16" s="9" t="s">
        <v>19</v>
      </c>
      <c r="F16" s="9" t="s">
        <v>97</v>
      </c>
      <c r="G16" s="10">
        <v>0.75</v>
      </c>
      <c r="H16" s="2" t="s">
        <v>31</v>
      </c>
      <c r="I16" s="10">
        <v>0.75</v>
      </c>
      <c r="K16" s="9" t="s">
        <v>65</v>
      </c>
      <c r="L16" s="9" t="s">
        <v>72</v>
      </c>
      <c r="M16" s="9">
        <v>2010</v>
      </c>
      <c r="N16" s="9" t="s">
        <v>1</v>
      </c>
      <c r="O16" s="9" t="s">
        <v>98</v>
      </c>
      <c r="P16" s="9" t="s">
        <v>76</v>
      </c>
      <c r="Q16" s="9">
        <v>2009</v>
      </c>
      <c r="R16" s="9" t="s">
        <v>74</v>
      </c>
      <c r="S16" s="9" t="s">
        <v>99</v>
      </c>
      <c r="T16" s="9" t="s">
        <v>77</v>
      </c>
      <c r="U16" s="9">
        <v>2008</v>
      </c>
    </row>
    <row r="17" spans="1:21" ht="15.75" customHeight="1">
      <c r="A17" s="186" t="s">
        <v>20</v>
      </c>
      <c r="B17" s="186"/>
      <c r="C17" s="11">
        <f>'FY 2010 Rev as of 01-15-10'!E3</f>
        <v>4337995</v>
      </c>
      <c r="D17" s="11">
        <f>'FY2010 Rev as of 07-13-10'!D3</f>
        <v>4303975.5599999996</v>
      </c>
      <c r="E17" s="12">
        <f t="shared" ref="E17:E23" si="0">(D17/C17)</f>
        <v>0.99215779640133273</v>
      </c>
      <c r="F17" s="29">
        <f t="shared" ref="F17:F22" si="1">D17-G17</f>
        <v>1050479.3099999996</v>
      </c>
      <c r="G17" s="14">
        <f>C17*0.75</f>
        <v>3253496.25</v>
      </c>
      <c r="H17" s="15">
        <f>C17-D17</f>
        <v>34019.44000000041</v>
      </c>
      <c r="I17" s="10">
        <v>0.75</v>
      </c>
      <c r="J17" s="21" t="str">
        <f t="shared" ref="J17:J22" si="2">A17</f>
        <v>Current / Delinquent Taxes</v>
      </c>
      <c r="K17" s="11">
        <f t="shared" ref="K17:L22" si="3">C17</f>
        <v>4337995</v>
      </c>
      <c r="L17" s="11">
        <f t="shared" si="3"/>
        <v>4303975.5599999996</v>
      </c>
      <c r="M17" s="12">
        <f t="shared" ref="M17:M23" si="4">(L17/K17)</f>
        <v>0.99215779640133273</v>
      </c>
      <c r="N17" s="11">
        <f>'FY 2009 Rev 01-15-10'!E3</f>
        <v>4070011</v>
      </c>
      <c r="O17" s="11">
        <f>SUM('FY 2009 Rev 01-15-10'!F3:N3)</f>
        <v>4047124.9000000004</v>
      </c>
      <c r="P17" s="11">
        <f>'FY 2009 Rev 01-15-10'!D3</f>
        <v>4095648.34</v>
      </c>
      <c r="Q17" s="12">
        <f t="shared" ref="Q17:Q23" si="5">O17/P17</f>
        <v>0.98815243986499113</v>
      </c>
      <c r="R17" s="11">
        <f>'FY 2008 Rev 01-15-10'!E3</f>
        <v>762480</v>
      </c>
      <c r="S17" s="11">
        <f>SUM('FY 2008 Rev 01-15-10'!F3:N3)</f>
        <v>777232.04999999993</v>
      </c>
      <c r="T17" s="11">
        <f>'FY 2008 Rev 01-15-10'!D3</f>
        <v>788839.59</v>
      </c>
      <c r="U17" s="12">
        <f t="shared" ref="U17:U23" si="6">S17/T17</f>
        <v>0.98528529735684278</v>
      </c>
    </row>
    <row r="18" spans="1:21" ht="15.75" customHeight="1">
      <c r="A18" s="186" t="s">
        <v>66</v>
      </c>
      <c r="B18" s="186"/>
      <c r="C18" s="16">
        <f>'FY 2010 Rev as of 01-15-10'!E4</f>
        <v>1854</v>
      </c>
      <c r="D18" s="28">
        <f>'FY2010 Rev as of 07-13-10'!D5</f>
        <v>1188</v>
      </c>
      <c r="E18" s="12">
        <f>(D18/C18)</f>
        <v>0.64077669902912626</v>
      </c>
      <c r="F18" s="22">
        <f>D18-G18</f>
        <v>-202.5</v>
      </c>
      <c r="G18" s="14">
        <f t="shared" ref="G18:G23" si="7">C18*0.75</f>
        <v>1390.5</v>
      </c>
      <c r="H18" s="15">
        <f>C18-D18</f>
        <v>666</v>
      </c>
      <c r="I18" s="10">
        <v>0.75</v>
      </c>
      <c r="J18" s="21" t="str">
        <f t="shared" si="2"/>
        <v>License / Permits</v>
      </c>
      <c r="K18" s="16">
        <f t="shared" si="3"/>
        <v>1854</v>
      </c>
      <c r="L18" s="28">
        <f t="shared" si="3"/>
        <v>1188</v>
      </c>
      <c r="M18" s="12">
        <f t="shared" si="4"/>
        <v>0.64077669902912626</v>
      </c>
      <c r="N18" s="28">
        <f>'FY 2009 Rev 01-15-10'!E5</f>
        <v>3000</v>
      </c>
      <c r="O18" s="28">
        <f>SUM('FY 2009 Rev 01-15-10'!F5:N5)</f>
        <v>1188</v>
      </c>
      <c r="P18" s="28">
        <f>'FY 2009 Rev 01-15-10'!D5</f>
        <v>1476</v>
      </c>
      <c r="Q18" s="12">
        <f t="shared" si="5"/>
        <v>0.80487804878048785</v>
      </c>
      <c r="R18" s="28">
        <f>'FY 2008 Rev 01-15-10'!E5</f>
        <v>7500</v>
      </c>
      <c r="S18" s="28">
        <f>SUM('FY 2008 Rev 01-15-10'!F5:N5)</f>
        <v>2034</v>
      </c>
      <c r="T18" s="28">
        <f>'FY 2008 Rev 01-15-10'!D5</f>
        <v>3209</v>
      </c>
      <c r="U18" s="12">
        <f t="shared" si="6"/>
        <v>0.63384231847927708</v>
      </c>
    </row>
    <row r="19" spans="1:21" ht="15.75" customHeight="1">
      <c r="A19" s="186" t="s">
        <v>2</v>
      </c>
      <c r="B19" s="186"/>
      <c r="C19" s="16">
        <f>'FY 2010 Rev as of 01-15-10'!E10</f>
        <v>12094490</v>
      </c>
      <c r="D19" s="28">
        <f>'FY2010 Rev as of 07-13-10'!D10</f>
        <v>10150131.33</v>
      </c>
      <c r="E19" s="12">
        <f t="shared" si="0"/>
        <v>0.83923599341518329</v>
      </c>
      <c r="F19" s="22">
        <f t="shared" si="1"/>
        <v>1079263.83</v>
      </c>
      <c r="G19" s="14">
        <f t="shared" si="7"/>
        <v>9070867.5</v>
      </c>
      <c r="H19" s="27">
        <f>C19-D19</f>
        <v>1944358.67</v>
      </c>
      <c r="I19" s="10">
        <v>0.75</v>
      </c>
      <c r="J19" s="21" t="str">
        <f t="shared" si="2"/>
        <v>Fees/Charges for Services</v>
      </c>
      <c r="K19" s="16">
        <f t="shared" si="3"/>
        <v>12094490</v>
      </c>
      <c r="L19" s="28">
        <f t="shared" si="3"/>
        <v>10150131.33</v>
      </c>
      <c r="M19" s="12">
        <f t="shared" si="4"/>
        <v>0.83923599341518329</v>
      </c>
      <c r="N19" s="28">
        <f>'FY 2009 Rev 01-15-10'!E10</f>
        <v>11806400</v>
      </c>
      <c r="O19" s="28">
        <f>SUM('FY 2009 Rev 01-15-10'!F10:N10)</f>
        <v>8940053.8600000013</v>
      </c>
      <c r="P19" s="28">
        <f>'FY 2009 Rev 01-15-10'!D10</f>
        <v>13237833.390000001</v>
      </c>
      <c r="Q19" s="12">
        <f t="shared" si="5"/>
        <v>0.67534116774376485</v>
      </c>
      <c r="R19" s="28">
        <f>'FY 2008 Rev 01-15-10'!E10</f>
        <v>11740700</v>
      </c>
      <c r="S19" s="28">
        <f>SUM('FY 2008 Rev 01-15-10'!F10:N10)</f>
        <v>11570250.370000001</v>
      </c>
      <c r="T19" s="28">
        <f>'FY 2008 Rev 01-15-10'!D10</f>
        <v>13297241.34</v>
      </c>
      <c r="U19" s="12">
        <f t="shared" si="6"/>
        <v>0.87012411628531072</v>
      </c>
    </row>
    <row r="20" spans="1:21" ht="15.75" customHeight="1">
      <c r="A20" s="186" t="s">
        <v>4</v>
      </c>
      <c r="B20" s="186"/>
      <c r="C20" s="16">
        <f>'FY 2010 Rev as of 01-15-10'!E12</f>
        <v>2295355</v>
      </c>
      <c r="D20" s="28">
        <f>'FY2010 Rev as of 07-13-10'!D12</f>
        <v>1556126</v>
      </c>
      <c r="E20" s="12">
        <f t="shared" si="0"/>
        <v>0.67794567724818167</v>
      </c>
      <c r="F20" s="22">
        <f t="shared" si="1"/>
        <v>-165390.25</v>
      </c>
      <c r="G20" s="14">
        <f t="shared" si="7"/>
        <v>1721516.25</v>
      </c>
      <c r="H20" s="27">
        <f>C20-D20</f>
        <v>739229</v>
      </c>
      <c r="I20" s="10">
        <v>0.75</v>
      </c>
      <c r="J20" s="21" t="str">
        <f t="shared" si="2"/>
        <v>Fines</v>
      </c>
      <c r="K20" s="16">
        <f t="shared" si="3"/>
        <v>2295355</v>
      </c>
      <c r="L20" s="28">
        <f t="shared" si="3"/>
        <v>1556126</v>
      </c>
      <c r="M20" s="12">
        <f t="shared" si="4"/>
        <v>0.67794567724818167</v>
      </c>
      <c r="N20" s="28">
        <f>'FY 2009 Rev 01-15-10'!E12</f>
        <v>1904500</v>
      </c>
      <c r="O20" s="28">
        <f>SUM('FY 2009 Rev 01-15-10'!F12:N12)</f>
        <v>1617748.17</v>
      </c>
      <c r="P20" s="28">
        <f>'FY 2009 Rev 01-15-10'!D12</f>
        <v>2213669.08</v>
      </c>
      <c r="Q20" s="12">
        <f t="shared" si="5"/>
        <v>0.73079946077577229</v>
      </c>
      <c r="R20" s="28">
        <f>'FY 2008 Rev 01-15-10'!E12</f>
        <v>2042325</v>
      </c>
      <c r="S20" s="28">
        <f>SUM('FY 2008 Rev 01-15-10'!F12:N12)</f>
        <v>1630940.11</v>
      </c>
      <c r="T20" s="28">
        <f>'FY 2008 Rev 01-15-10'!D12</f>
        <v>2340429.91</v>
      </c>
      <c r="U20" s="12">
        <f t="shared" si="6"/>
        <v>0.69685492525601844</v>
      </c>
    </row>
    <row r="21" spans="1:21" ht="15.75" customHeight="1">
      <c r="A21" s="186" t="s">
        <v>3</v>
      </c>
      <c r="B21" s="186"/>
      <c r="C21" s="16">
        <f>'FY 2010 Rev as of 01-15-10'!E14</f>
        <v>280881</v>
      </c>
      <c r="D21" s="28">
        <f>'FY2010 Rev as of 07-13-10'!D14</f>
        <v>150250.53</v>
      </c>
      <c r="E21" s="12">
        <f t="shared" si="0"/>
        <v>0.53492592948615247</v>
      </c>
      <c r="F21" s="22">
        <f t="shared" si="1"/>
        <v>-60410.22</v>
      </c>
      <c r="G21" s="14">
        <f t="shared" si="7"/>
        <v>210660.75</v>
      </c>
      <c r="H21" s="27">
        <f>C21-D21</f>
        <v>130630.47</v>
      </c>
      <c r="I21" s="10">
        <v>0.75</v>
      </c>
      <c r="J21" s="21" t="str">
        <f t="shared" si="2"/>
        <v>Investment Revenue</v>
      </c>
      <c r="K21" s="16">
        <f t="shared" si="3"/>
        <v>280881</v>
      </c>
      <c r="L21" s="28">
        <f t="shared" si="3"/>
        <v>150250.53</v>
      </c>
      <c r="M21" s="12">
        <f t="shared" si="4"/>
        <v>0.53492592948615247</v>
      </c>
      <c r="N21" s="28">
        <f>'FY 2009 Rev 01-15-10'!E14</f>
        <v>305000</v>
      </c>
      <c r="O21" s="28">
        <f>SUM('FY 2009 Rev 01-15-10'!F14:N14)</f>
        <v>211417.35999999996</v>
      </c>
      <c r="P21" s="28">
        <f>'FY 2009 Rev 01-15-10'!D14</f>
        <v>284617.61</v>
      </c>
      <c r="Q21" s="12">
        <f t="shared" si="5"/>
        <v>0.74281194336499401</v>
      </c>
      <c r="R21" s="28">
        <f>'FY 2008 Rev 01-15-10'!E14</f>
        <v>572500</v>
      </c>
      <c r="S21" s="28">
        <f>SUM('FY 2008 Rev 01-15-10'!F14:N14)</f>
        <v>331805.75</v>
      </c>
      <c r="T21" s="28">
        <f>'FY 2008 Rev 01-15-10'!D14</f>
        <v>457042.89</v>
      </c>
      <c r="U21" s="12">
        <f t="shared" si="6"/>
        <v>0.72598383490879814</v>
      </c>
    </row>
    <row r="22" spans="1:21" ht="15.75" customHeight="1" thickBot="1">
      <c r="A22" s="186" t="s">
        <v>21</v>
      </c>
      <c r="B22" s="186"/>
      <c r="C22" s="16">
        <f>'FY 2010 Rev as of 01-15-10'!E16+'FY 2010 Rev as of 01-15-10'!E18+'FY 2010 Rev as of 01-15-10'!E20</f>
        <v>25400</v>
      </c>
      <c r="D22" s="28">
        <f>'FY2010 Rev as of 07-13-10'!D18</f>
        <v>53786.52</v>
      </c>
      <c r="E22" s="12">
        <f t="shared" si="0"/>
        <v>2.1175795275590552</v>
      </c>
      <c r="F22" s="22">
        <f t="shared" si="1"/>
        <v>34736.519999999997</v>
      </c>
      <c r="G22" s="14">
        <f t="shared" si="7"/>
        <v>19050</v>
      </c>
      <c r="H22" s="27">
        <v>0</v>
      </c>
      <c r="I22" s="10">
        <v>0.75</v>
      </c>
      <c r="J22" s="21" t="str">
        <f t="shared" si="2"/>
        <v>Miscellaneous</v>
      </c>
      <c r="K22" s="52">
        <f t="shared" si="3"/>
        <v>25400</v>
      </c>
      <c r="L22" s="53">
        <f t="shared" si="3"/>
        <v>53786.52</v>
      </c>
      <c r="M22" s="77">
        <f t="shared" si="4"/>
        <v>2.1175795275590552</v>
      </c>
      <c r="N22" s="53">
        <f>'FY 2009 Rev 01-15-10'!E16+'FY 2009 Rev 01-15-10'!E18+'FY 2009 Rev 01-15-10'!E20</f>
        <v>117000</v>
      </c>
      <c r="O22" s="53">
        <f>SUM('FY 2009 Rev 01-15-10'!F16:N16,'FY 2009 Rev 01-15-10'!F18:N18,'FY 2009 Rev 01-15-10'!F20:N20)</f>
        <v>33738.479999999996</v>
      </c>
      <c r="P22" s="53">
        <f>'FY 2009 Rev 01-15-10'!D16+'FY 2009 Rev 01-15-10'!D18+'FY 2009 Rev 01-15-10'!D20</f>
        <v>65838.240000000005</v>
      </c>
      <c r="Q22" s="77">
        <f t="shared" si="5"/>
        <v>0.51244504713370209</v>
      </c>
      <c r="R22" s="53">
        <f>'FY 2008 Rev 01-15-10'!E16+'FY 2008 Rev 01-15-10'!E18+'FY 2008 Rev 01-15-10'!E20</f>
        <v>90000</v>
      </c>
      <c r="S22" s="53">
        <f>SUM('FY 2008 Rev 01-15-10'!F16:N16,'FY 2008 Rev 01-15-10'!F18:N18,'FY 2008 Rev 01-15-10'!F20:N20)</f>
        <v>321027.88999999996</v>
      </c>
      <c r="T22" s="53">
        <f>'FY 2008 Rev 01-15-10'!D16+'FY 2008 Rev 01-15-10'!D18+'FY 2008 Rev 01-15-10'!D20</f>
        <v>363410.55000000005</v>
      </c>
      <c r="U22" s="77">
        <f t="shared" si="6"/>
        <v>0.88337526249581888</v>
      </c>
    </row>
    <row r="23" spans="1:21" ht="15.75" customHeight="1" thickBot="1">
      <c r="A23" s="187" t="s">
        <v>22</v>
      </c>
      <c r="B23" s="187"/>
      <c r="C23" s="11">
        <f>SUM(C17:C22)</f>
        <v>19035975</v>
      </c>
      <c r="D23" s="11">
        <f>SUM(D17:D22)</f>
        <v>16215457.939999999</v>
      </c>
      <c r="E23" s="12">
        <f t="shared" si="0"/>
        <v>0.85183227756918145</v>
      </c>
      <c r="F23" s="17">
        <f>SUM(F17:F22)</f>
        <v>1938476.6899999997</v>
      </c>
      <c r="G23" s="14">
        <f t="shared" si="7"/>
        <v>14276981.25</v>
      </c>
      <c r="H23" s="27"/>
      <c r="J23" s="21"/>
      <c r="K23" s="51">
        <f>SUM(K17:K22)</f>
        <v>19035975</v>
      </c>
      <c r="L23" s="51">
        <f>SUM(L17:L22)</f>
        <v>16215457.939999999</v>
      </c>
      <c r="M23" s="78">
        <f t="shared" si="4"/>
        <v>0.85183227756918145</v>
      </c>
      <c r="N23" s="51">
        <f>SUM(N17:N22)</f>
        <v>18205911</v>
      </c>
      <c r="O23" s="51">
        <f>SUM(O17:O22)</f>
        <v>14851270.770000001</v>
      </c>
      <c r="P23" s="51">
        <f>SUM(P17:P22)</f>
        <v>19899082.66</v>
      </c>
      <c r="Q23" s="78">
        <f t="shared" si="5"/>
        <v>0.74632941747878545</v>
      </c>
      <c r="R23" s="51">
        <f>SUM(R17:R22)</f>
        <v>15215505</v>
      </c>
      <c r="S23" s="51">
        <f>SUM(S17:S22)</f>
        <v>14633290.170000002</v>
      </c>
      <c r="T23" s="51">
        <f>SUM(T17:T22)</f>
        <v>17250173.280000001</v>
      </c>
      <c r="U23" s="78">
        <f t="shared" si="6"/>
        <v>0.84829815518235774</v>
      </c>
    </row>
    <row r="24" spans="1:21" ht="22.5" customHeight="1" thickTop="1">
      <c r="J24" s="21"/>
      <c r="K24" s="26"/>
    </row>
    <row r="25" spans="1:21">
      <c r="J25" s="21"/>
      <c r="K25" s="26"/>
    </row>
    <row r="39" spans="1:26">
      <c r="J39" s="65"/>
      <c r="K39" s="65"/>
    </row>
    <row r="40" spans="1:26">
      <c r="J40" s="65"/>
      <c r="K40" s="65"/>
    </row>
    <row r="41" spans="1:26">
      <c r="J41" s="65"/>
      <c r="K41" s="65"/>
    </row>
    <row r="42" spans="1:26">
      <c r="J42" s="65"/>
      <c r="K42" s="65"/>
    </row>
    <row r="43" spans="1:26">
      <c r="J43" s="65"/>
      <c r="K43" s="65"/>
    </row>
    <row r="44" spans="1:26">
      <c r="J44" s="65"/>
      <c r="K44" s="65"/>
    </row>
    <row r="45" spans="1:26" ht="33" customHeight="1">
      <c r="A45" s="183" t="s">
        <v>88</v>
      </c>
      <c r="B45" s="183"/>
      <c r="C45" s="183"/>
      <c r="D45" s="183"/>
      <c r="E45" s="183"/>
      <c r="F45" s="183"/>
      <c r="J45" s="65"/>
      <c r="K45" s="65"/>
    </row>
    <row r="46" spans="1:26" ht="12" customHeight="1">
      <c r="B46" s="18"/>
      <c r="C46" s="18"/>
      <c r="D46" s="18"/>
      <c r="E46" s="18"/>
      <c r="J46" s="65"/>
      <c r="K46" s="65"/>
    </row>
    <row r="47" spans="1:26" ht="36" customHeight="1">
      <c r="A47" s="178"/>
      <c r="B47" s="178"/>
      <c r="C47" s="19" t="s">
        <v>65</v>
      </c>
      <c r="D47" s="19" t="s">
        <v>34</v>
      </c>
      <c r="E47" s="19" t="s">
        <v>19</v>
      </c>
      <c r="F47" s="9" t="s">
        <v>97</v>
      </c>
      <c r="G47" s="10">
        <v>0.75</v>
      </c>
      <c r="H47" s="2" t="s">
        <v>32</v>
      </c>
      <c r="K47" s="79" t="s">
        <v>65</v>
      </c>
      <c r="L47" s="75" t="s">
        <v>78</v>
      </c>
      <c r="M47" s="76">
        <v>2010</v>
      </c>
      <c r="N47" s="75" t="s">
        <v>79</v>
      </c>
      <c r="O47" s="75" t="s">
        <v>1</v>
      </c>
      <c r="P47" s="75" t="s">
        <v>100</v>
      </c>
      <c r="Q47" s="76">
        <v>2009</v>
      </c>
      <c r="R47" s="75" t="s">
        <v>81</v>
      </c>
      <c r="S47" s="75">
        <v>2009</v>
      </c>
      <c r="T47" s="75" t="s">
        <v>82</v>
      </c>
      <c r="U47" s="75" t="s">
        <v>74</v>
      </c>
      <c r="V47" s="75" t="s">
        <v>101</v>
      </c>
      <c r="W47" s="76">
        <v>2008</v>
      </c>
      <c r="X47" s="75" t="s">
        <v>84</v>
      </c>
      <c r="Y47" s="75">
        <v>2008</v>
      </c>
      <c r="Z47" s="75" t="s">
        <v>85</v>
      </c>
    </row>
    <row r="48" spans="1:26" ht="15.75" customHeight="1">
      <c r="A48" s="179" t="s">
        <v>23</v>
      </c>
      <c r="B48" s="180"/>
      <c r="C48" s="11">
        <f>'FY 2010 Exp as of 01-06-10'!C2</f>
        <v>44035</v>
      </c>
      <c r="D48" s="11">
        <f>'FY2010 Exp as of 07-13-10'!E2</f>
        <v>1783.36</v>
      </c>
      <c r="E48" s="12">
        <f>(D48/C48)</f>
        <v>4.0498694220506413E-2</v>
      </c>
      <c r="F48" s="11">
        <f>+G48-D48</f>
        <v>31242.89</v>
      </c>
      <c r="G48" s="23">
        <f>C48*0.75</f>
        <v>33026.25</v>
      </c>
      <c r="H48" s="24">
        <f>C48-D48</f>
        <v>42251.64</v>
      </c>
      <c r="I48" s="1">
        <v>0.75</v>
      </c>
      <c r="J48" s="65" t="str">
        <f>A48</f>
        <v>Conservation</v>
      </c>
      <c r="K48" s="13">
        <f t="shared" ref="K48:L50" si="8">C48</f>
        <v>44035</v>
      </c>
      <c r="L48" s="13">
        <f t="shared" si="8"/>
        <v>1783.36</v>
      </c>
      <c r="M48" s="80">
        <f>(L48/K48)</f>
        <v>4.0498694220506413E-2</v>
      </c>
      <c r="N48" s="13">
        <f>K48-L48</f>
        <v>42251.64</v>
      </c>
      <c r="O48" s="13">
        <f>'FY 2009 Exp 01-06-10'!C2</f>
        <v>44035</v>
      </c>
      <c r="P48" s="13">
        <f>SUM('FY 2009 Exp 01-06-10'!F2:N2)</f>
        <v>34213.74</v>
      </c>
      <c r="Q48" s="80">
        <f>P48/O48</f>
        <v>0.77696695810151006</v>
      </c>
      <c r="R48" s="13">
        <f>'FY 2009 Exp 01-06-10'!D2</f>
        <v>217718</v>
      </c>
      <c r="S48" s="80">
        <f>P48/R48</f>
        <v>0.1571470434231437</v>
      </c>
      <c r="T48" s="13">
        <f>O48-P48</f>
        <v>9821.260000000002</v>
      </c>
      <c r="U48" s="13">
        <f>'FY 2008 Exp 01-06-10'!C2</f>
        <v>44035</v>
      </c>
      <c r="V48" s="13">
        <f>SUM('FY 2008 Exp 01-06-10'!F2:N2)</f>
        <v>53422.19</v>
      </c>
      <c r="W48" s="80">
        <f>V48/U48</f>
        <v>1.2131756557283979</v>
      </c>
      <c r="X48" s="13">
        <f>'FY 2008 Exp 01-06-10'!D2</f>
        <v>401290</v>
      </c>
      <c r="Y48" s="80">
        <f>V48/X48</f>
        <v>0.133126143188218</v>
      </c>
      <c r="Z48" s="13">
        <f>U48-V48</f>
        <v>-9387.1900000000023</v>
      </c>
    </row>
    <row r="49" spans="1:26" ht="15.75" customHeight="1">
      <c r="A49" s="179" t="s">
        <v>102</v>
      </c>
      <c r="B49" s="180"/>
      <c r="C49" s="11">
        <f>'FY 2010 Exp as of 01-06-10'!C4</f>
        <v>19347332</v>
      </c>
      <c r="D49" s="28">
        <f>'FY2010 Exp as of 07-13-10'!E4</f>
        <v>12130895.800000001</v>
      </c>
      <c r="E49" s="12">
        <f>(D49/C49)</f>
        <v>0.62700613190490562</v>
      </c>
      <c r="F49" s="28">
        <f>+G49-D49</f>
        <v>2379603.1999999993</v>
      </c>
      <c r="G49" s="23">
        <f>C49*0.75</f>
        <v>14510499</v>
      </c>
      <c r="H49" s="25">
        <f>C49-D49</f>
        <v>7216436.1999999993</v>
      </c>
      <c r="I49" s="1">
        <v>0.75</v>
      </c>
      <c r="J49" s="65" t="str">
        <f>A49</f>
        <v>Public Transport</v>
      </c>
      <c r="K49" s="81">
        <f t="shared" si="8"/>
        <v>19347332</v>
      </c>
      <c r="L49" s="81">
        <f t="shared" si="8"/>
        <v>12130895.800000001</v>
      </c>
      <c r="M49" s="80">
        <f>(L49/K49)</f>
        <v>0.62700613190490562</v>
      </c>
      <c r="N49" s="81">
        <f>K49-L49</f>
        <v>7216436.1999999993</v>
      </c>
      <c r="O49" s="81">
        <f>'FY 2009 Exp 01-06-10'!C4</f>
        <v>19861346</v>
      </c>
      <c r="P49" s="81">
        <f>SUM('FY 2009 Exp 01-06-10'!F4:N4)</f>
        <v>10227779.729999999</v>
      </c>
      <c r="Q49" s="80">
        <f>P49/O49</f>
        <v>0.51495904305780682</v>
      </c>
      <c r="R49" s="81">
        <f>'FY 2009 Exp 01-06-10'!D4</f>
        <v>23302893</v>
      </c>
      <c r="S49" s="80">
        <f>P49/R49</f>
        <v>0.43890600750730813</v>
      </c>
      <c r="T49" s="13">
        <f>O49-P49</f>
        <v>9633566.2700000014</v>
      </c>
      <c r="U49" s="81">
        <f>'FY 2008 Exp 01-06-10'!C4</f>
        <v>17022879</v>
      </c>
      <c r="V49" s="81">
        <f>SUM('FY 2008 Exp 01-06-10'!F4:N4)</f>
        <v>9440688.6899999995</v>
      </c>
      <c r="W49" s="80">
        <f>V49/U49</f>
        <v>0.55458825090632435</v>
      </c>
      <c r="X49" s="81">
        <f>'FY 2008 Exp 01-06-10'!D4</f>
        <v>20274507</v>
      </c>
      <c r="Y49" s="80">
        <f>V49/X49</f>
        <v>0.46564331699902739</v>
      </c>
      <c r="Z49" s="13">
        <f>U49-V49</f>
        <v>7582190.3100000005</v>
      </c>
    </row>
    <row r="50" spans="1:26" ht="15.75" customHeight="1" thickBot="1">
      <c r="A50" s="179" t="s">
        <v>24</v>
      </c>
      <c r="B50" s="180"/>
      <c r="C50" s="11">
        <f>'FY 2010 Exp as of 01-06-10'!C5</f>
        <v>0</v>
      </c>
      <c r="D50" s="28">
        <f>'FY2010 Exp as of 07-13-10'!E5</f>
        <v>0</v>
      </c>
      <c r="E50" s="12">
        <v>0</v>
      </c>
      <c r="F50" s="28">
        <f>+G50-D50</f>
        <v>0</v>
      </c>
      <c r="G50" s="23">
        <f>C50*0.75</f>
        <v>0</v>
      </c>
      <c r="H50" s="25">
        <f>C50-D50</f>
        <v>0</v>
      </c>
      <c r="I50" s="1">
        <v>0.75</v>
      </c>
      <c r="J50" s="65" t="str">
        <f>A50</f>
        <v>Transfers</v>
      </c>
      <c r="K50" s="83">
        <f t="shared" si="8"/>
        <v>0</v>
      </c>
      <c r="L50" s="83">
        <f t="shared" si="8"/>
        <v>0</v>
      </c>
      <c r="M50" s="77" t="e">
        <f>(L50/K50)</f>
        <v>#DIV/0!</v>
      </c>
      <c r="N50" s="83">
        <f>K50-L50</f>
        <v>0</v>
      </c>
      <c r="O50" s="83">
        <f>'FY 2009 Exp 01-06-10'!C5</f>
        <v>0</v>
      </c>
      <c r="P50" s="83">
        <f>SUM('FY 2009 Exp 01-06-10'!F5:N5)</f>
        <v>433900</v>
      </c>
      <c r="Q50" s="77" t="e">
        <f>P50/O50</f>
        <v>#DIV/0!</v>
      </c>
      <c r="R50" s="83">
        <f>'FY 2009 Exp 01-06-10'!D5</f>
        <v>433900</v>
      </c>
      <c r="S50" s="77">
        <f>P50/R50</f>
        <v>1</v>
      </c>
      <c r="T50" s="84">
        <f>O50-P50</f>
        <v>-433900</v>
      </c>
      <c r="U50" s="83">
        <f>'FY 2008 Exp 01-06-10'!C5</f>
        <v>0</v>
      </c>
      <c r="V50" s="83">
        <f>SUM('FY 2008 Exp 01-06-10'!F5:N5)</f>
        <v>0</v>
      </c>
      <c r="W50" s="77" t="e">
        <f>V50/U50</f>
        <v>#DIV/0!</v>
      </c>
      <c r="X50" s="83">
        <f>'FY 2008 Exp 01-06-10'!D5</f>
        <v>0</v>
      </c>
      <c r="Y50" s="77" t="e">
        <f>V50/X50</f>
        <v>#DIV/0!</v>
      </c>
      <c r="Z50" s="84">
        <f>U50-V50</f>
        <v>0</v>
      </c>
    </row>
    <row r="51" spans="1:26" ht="15.75" customHeight="1" thickBot="1">
      <c r="A51" s="181" t="s">
        <v>22</v>
      </c>
      <c r="B51" s="182"/>
      <c r="C51" s="20">
        <f>SUM(C48:C50)</f>
        <v>19391367</v>
      </c>
      <c r="D51" s="20">
        <f>SUM(D48:D50)</f>
        <v>12132679.16</v>
      </c>
      <c r="E51" s="12">
        <f>(D51/C51)</f>
        <v>0.62567425803451604</v>
      </c>
      <c r="F51" s="13">
        <f>+G51-D51</f>
        <v>2410846.09</v>
      </c>
      <c r="G51" s="23">
        <f>C51*0.75</f>
        <v>14543525.25</v>
      </c>
      <c r="H51" s="25">
        <f>C51-D51</f>
        <v>7258687.8399999999</v>
      </c>
      <c r="I51" s="1">
        <v>0.75</v>
      </c>
      <c r="J51" s="50"/>
      <c r="K51" s="82">
        <f>SUM(K48:K50)</f>
        <v>19391367</v>
      </c>
      <c r="L51" s="82">
        <f>SUM(L48:L50)</f>
        <v>12132679.16</v>
      </c>
      <c r="M51" s="78">
        <f>(L51/K51)</f>
        <v>0.62567425803451604</v>
      </c>
      <c r="N51" s="82">
        <f>SUM(N48:N50)</f>
        <v>7258687.8399999989</v>
      </c>
      <c r="O51" s="82">
        <f>SUM(O48:O50)</f>
        <v>19905381</v>
      </c>
      <c r="P51" s="82">
        <f>SUM(P48:P50)</f>
        <v>10695893.469999999</v>
      </c>
      <c r="Q51" s="78">
        <f>P51/O51</f>
        <v>0.53733678697232667</v>
      </c>
      <c r="R51" s="82">
        <f>SUM(R48:R50)</f>
        <v>23954511</v>
      </c>
      <c r="S51" s="78">
        <f>P51/R51</f>
        <v>0.4465085290198576</v>
      </c>
      <c r="T51" s="82">
        <f>SUM(T48:T50)</f>
        <v>9209487.5300000012</v>
      </c>
      <c r="U51" s="82">
        <f>SUM(U48:U50)</f>
        <v>17066914</v>
      </c>
      <c r="V51" s="82">
        <f>SUM(V48:V50)</f>
        <v>9494110.879999999</v>
      </c>
      <c r="W51" s="78">
        <f>V51/U51</f>
        <v>0.55628749755228146</v>
      </c>
      <c r="X51" s="82">
        <f>SUM(X48:X50)</f>
        <v>20675797</v>
      </c>
      <c r="Y51" s="78">
        <f>V51/X51</f>
        <v>0.45918959641555773</v>
      </c>
      <c r="Z51" s="82">
        <f>SUM(Z48:Z50)</f>
        <v>7572803.1200000001</v>
      </c>
    </row>
    <row r="52" spans="1:26" ht="13.5" thickTop="1"/>
  </sheetData>
  <mergeCells count="17">
    <mergeCell ref="A47:B47"/>
    <mergeCell ref="A48:B48"/>
    <mergeCell ref="A49:B49"/>
    <mergeCell ref="A50:B50"/>
    <mergeCell ref="A51:B51"/>
    <mergeCell ref="A45:F45"/>
    <mergeCell ref="B3:D3"/>
    <mergeCell ref="A13:F13"/>
    <mergeCell ref="A14:F14"/>
    <mergeCell ref="A16:B16"/>
    <mergeCell ref="A17:B17"/>
    <mergeCell ref="A18:B18"/>
    <mergeCell ref="A19:B19"/>
    <mergeCell ref="A20:B20"/>
    <mergeCell ref="A21:B21"/>
    <mergeCell ref="A22:B22"/>
    <mergeCell ref="A23:B23"/>
  </mergeCells>
  <pageMargins left="0.7" right="0.7" top="0.75" bottom="0.75" header="0.3" footer="0.3"/>
  <pageSetup scale="99" orientation="portrait" horizontalDpi="1200" verticalDpi="1200" r:id="rId1"/>
  <rowBreaks count="2" manualBreakCount="2">
    <brk id="44" max="16383" man="1"/>
    <brk id="78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view="pageBreakPreview" topLeftCell="I1" zoomScaleNormal="100" zoomScaleSheetLayoutView="100" workbookViewId="0">
      <selection activeCell="S17" sqref="S17:S22"/>
    </sheetView>
  </sheetViews>
  <sheetFormatPr defaultRowHeight="12.75"/>
  <cols>
    <col min="1" max="1" width="5.5" style="2" bestFit="1" customWidth="1"/>
    <col min="2" max="2" width="15" style="2" customWidth="1"/>
    <col min="3" max="3" width="16.75" style="2" customWidth="1"/>
    <col min="4" max="4" width="19.125" style="2" customWidth="1"/>
    <col min="5" max="5" width="8.2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2.5" style="2" bestFit="1" customWidth="1"/>
    <col min="12" max="12" width="10.25" style="2" bestFit="1" customWidth="1"/>
    <col min="13" max="13" width="10.25" style="2" customWidth="1"/>
    <col min="14" max="14" width="11.5" style="2" customWidth="1"/>
    <col min="15" max="15" width="11.125" style="2" bestFit="1" customWidth="1"/>
    <col min="16" max="16" width="13.25" style="2" bestFit="1" customWidth="1"/>
    <col min="17" max="17" width="10.25" style="2" customWidth="1"/>
    <col min="18" max="18" width="12.5" style="2" bestFit="1" customWidth="1"/>
    <col min="19" max="19" width="10.25" style="2" customWidth="1"/>
    <col min="20" max="20" width="12.5" style="2" bestFit="1" customWidth="1"/>
    <col min="21" max="21" width="11.125" style="2" bestFit="1" customWidth="1"/>
    <col min="22" max="23" width="10.75" style="2" customWidth="1"/>
    <col min="24" max="24" width="11.125" style="2" bestFit="1" customWidth="1"/>
    <col min="25" max="25" width="10.75" style="2" customWidth="1"/>
    <col min="26" max="26" width="12.5" style="2" bestFit="1" customWidth="1"/>
    <col min="27" max="16384" width="9" style="2"/>
  </cols>
  <sheetData>
    <row r="1" spans="1:21" ht="15.95" customHeight="1">
      <c r="E1" s="3"/>
      <c r="F1" s="3" t="s">
        <v>17</v>
      </c>
    </row>
    <row r="2" spans="1:21" ht="15.95" customHeight="1">
      <c r="E2" s="3"/>
      <c r="F2" s="3" t="s">
        <v>36</v>
      </c>
    </row>
    <row r="3" spans="1:21" ht="15.95" customHeight="1">
      <c r="B3" s="175" t="s">
        <v>30</v>
      </c>
      <c r="C3" s="175"/>
      <c r="D3" s="175"/>
      <c r="E3" s="3"/>
      <c r="F3" s="3" t="s">
        <v>37</v>
      </c>
    </row>
    <row r="4" spans="1:21" ht="15.95" customHeight="1">
      <c r="E4" s="3"/>
      <c r="F4" s="3" t="s">
        <v>38</v>
      </c>
    </row>
    <row r="5" spans="1:21" ht="15.95" customHeight="1">
      <c r="E5" s="3"/>
      <c r="F5" s="3" t="s">
        <v>18</v>
      </c>
    </row>
    <row r="6" spans="1:21" ht="15.75">
      <c r="A6" s="4"/>
      <c r="B6" s="4"/>
      <c r="C6" s="4"/>
      <c r="D6" s="5"/>
      <c r="E6" s="5"/>
      <c r="F6" s="4"/>
    </row>
    <row r="7" spans="1:21" ht="15.75">
      <c r="D7" s="3"/>
      <c r="E7" s="3"/>
    </row>
    <row r="8" spans="1:21" ht="19.5" customHeight="1">
      <c r="A8" s="6" t="s">
        <v>25</v>
      </c>
      <c r="B8" s="7" t="s">
        <v>26</v>
      </c>
    </row>
    <row r="9" spans="1:21" ht="19.5" customHeight="1">
      <c r="A9" s="6" t="s">
        <v>27</v>
      </c>
      <c r="B9" s="7" t="s">
        <v>64</v>
      </c>
    </row>
    <row r="10" spans="1:21" ht="19.5" customHeight="1">
      <c r="A10" s="6" t="s">
        <v>28</v>
      </c>
      <c r="B10" s="8">
        <v>40466</v>
      </c>
    </row>
    <row r="11" spans="1:21" ht="19.5" customHeight="1">
      <c r="A11" s="6" t="s">
        <v>29</v>
      </c>
      <c r="B11" s="7" t="s">
        <v>103</v>
      </c>
    </row>
    <row r="12" spans="1:21" ht="19.5" customHeight="1">
      <c r="A12" s="6"/>
      <c r="B12" s="7"/>
    </row>
    <row r="13" spans="1:21" ht="22.5" customHeight="1">
      <c r="A13" s="184"/>
      <c r="B13" s="184"/>
      <c r="C13" s="184"/>
      <c r="D13" s="184"/>
      <c r="E13" s="184"/>
      <c r="F13" s="184"/>
    </row>
    <row r="14" spans="1:21" ht="31.5" customHeight="1">
      <c r="A14" s="183" t="s">
        <v>87</v>
      </c>
      <c r="B14" s="183"/>
      <c r="C14" s="183"/>
      <c r="D14" s="183"/>
      <c r="E14" s="183"/>
      <c r="F14" s="183"/>
    </row>
    <row r="15" spans="1:21">
      <c r="K15" s="64"/>
      <c r="L15" s="64"/>
      <c r="M15" s="64"/>
      <c r="N15" s="64"/>
    </row>
    <row r="16" spans="1:21" ht="63.75">
      <c r="A16" s="185"/>
      <c r="B16" s="185"/>
      <c r="C16" s="9" t="s">
        <v>65</v>
      </c>
      <c r="D16" s="9" t="s">
        <v>33</v>
      </c>
      <c r="E16" s="9" t="s">
        <v>19</v>
      </c>
      <c r="F16" s="9" t="s">
        <v>105</v>
      </c>
      <c r="G16" s="10"/>
      <c r="H16" s="2" t="s">
        <v>31</v>
      </c>
      <c r="I16" s="10">
        <v>1</v>
      </c>
      <c r="K16" s="9" t="s">
        <v>65</v>
      </c>
      <c r="L16" s="9" t="s">
        <v>72</v>
      </c>
      <c r="M16" s="9">
        <v>2010</v>
      </c>
      <c r="N16" s="9" t="s">
        <v>1</v>
      </c>
      <c r="O16" s="9" t="s">
        <v>107</v>
      </c>
      <c r="P16" s="9" t="s">
        <v>76</v>
      </c>
      <c r="Q16" s="9">
        <v>2009</v>
      </c>
      <c r="R16" s="9" t="s">
        <v>74</v>
      </c>
      <c r="S16" s="9" t="s">
        <v>106</v>
      </c>
      <c r="T16" s="9" t="s">
        <v>77</v>
      </c>
      <c r="U16" s="9">
        <v>2008</v>
      </c>
    </row>
    <row r="17" spans="1:21" ht="15.75" customHeight="1">
      <c r="A17" s="186" t="s">
        <v>20</v>
      </c>
      <c r="B17" s="186"/>
      <c r="C17" s="11">
        <f>'FY 2010 Rev as of 01-15-10'!E3</f>
        <v>4337995</v>
      </c>
      <c r="D17" s="11">
        <f>'FY2010 Rev as of 10-13-10 '!D3</f>
        <v>4332761.68</v>
      </c>
      <c r="E17" s="12">
        <f t="shared" ref="E17:E23" si="0">(D17/C17)</f>
        <v>0.99879360856801347</v>
      </c>
      <c r="F17" s="29">
        <f t="shared" ref="F17:F22" si="1">D17-C17</f>
        <v>-5233.320000000298</v>
      </c>
      <c r="G17" s="14"/>
      <c r="H17" s="15">
        <f>C17-D17</f>
        <v>5233.320000000298</v>
      </c>
      <c r="I17" s="10">
        <v>1</v>
      </c>
      <c r="J17" s="21" t="str">
        <f t="shared" ref="J17:J22" si="2">A17</f>
        <v>Current / Delinquent Taxes</v>
      </c>
      <c r="K17" s="11">
        <f t="shared" ref="K17:L22" si="3">C17</f>
        <v>4337995</v>
      </c>
      <c r="L17" s="11">
        <f t="shared" si="3"/>
        <v>4332761.68</v>
      </c>
      <c r="M17" s="12">
        <f t="shared" ref="M17:M23" si="4">(L17/K17)</f>
        <v>0.99879360856801347</v>
      </c>
      <c r="N17" s="11">
        <f>'FY 2009 Rev 01-15-10'!E3</f>
        <v>4070011</v>
      </c>
      <c r="O17" s="11">
        <f>SUM('FY 2009 Rev 01-15-10'!F3:Q3)</f>
        <v>4089020.4200000004</v>
      </c>
      <c r="P17" s="11">
        <f>'FY 2009 Rev 01-15-10'!D3</f>
        <v>4095648.34</v>
      </c>
      <c r="Q17" s="12">
        <f t="shared" ref="Q17:Q23" si="5">O17/P17</f>
        <v>0.99838171653184471</v>
      </c>
      <c r="R17" s="11">
        <f>'FY 2008 Rev 01-15-10'!E3</f>
        <v>762480</v>
      </c>
      <c r="S17" s="11">
        <f>SUM('FY 2008 Rev 01-15-10'!F3:Q3)</f>
        <v>788839.59</v>
      </c>
      <c r="T17" s="11">
        <f>'FY 2008 Rev 01-15-10'!D3</f>
        <v>788839.59</v>
      </c>
      <c r="U17" s="12">
        <f t="shared" ref="U17:U23" si="6">S17/T17</f>
        <v>1</v>
      </c>
    </row>
    <row r="18" spans="1:21" ht="15.75" customHeight="1">
      <c r="A18" s="186" t="s">
        <v>66</v>
      </c>
      <c r="B18" s="186"/>
      <c r="C18" s="16">
        <f>'FY 2010 Rev as of 01-15-10'!E4</f>
        <v>1854</v>
      </c>
      <c r="D18" s="28">
        <f>'FY2010 Rev as of 10-13-10 '!D5</f>
        <v>1620</v>
      </c>
      <c r="E18" s="12">
        <f>(D18/C18)</f>
        <v>0.87378640776699024</v>
      </c>
      <c r="F18" s="29">
        <f t="shared" si="1"/>
        <v>-234</v>
      </c>
      <c r="G18" s="14"/>
      <c r="H18" s="15">
        <f>C18-D18</f>
        <v>234</v>
      </c>
      <c r="I18" s="10">
        <v>1</v>
      </c>
      <c r="J18" s="21" t="str">
        <f t="shared" si="2"/>
        <v>License / Permits</v>
      </c>
      <c r="K18" s="16">
        <f t="shared" si="3"/>
        <v>1854</v>
      </c>
      <c r="L18" s="28">
        <f t="shared" si="3"/>
        <v>1620</v>
      </c>
      <c r="M18" s="12">
        <f t="shared" si="4"/>
        <v>0.87378640776699024</v>
      </c>
      <c r="N18" s="28">
        <f>'FY 2009 Rev 01-15-10'!E5</f>
        <v>3000</v>
      </c>
      <c r="O18" s="28">
        <f>SUM('FY 2009 Rev 01-15-10'!F5:Q5)</f>
        <v>1476</v>
      </c>
      <c r="P18" s="28">
        <f>'FY 2009 Rev 01-15-10'!D5</f>
        <v>1476</v>
      </c>
      <c r="Q18" s="12">
        <f t="shared" si="5"/>
        <v>1</v>
      </c>
      <c r="R18" s="28">
        <f>'FY 2008 Rev 01-15-10'!E5</f>
        <v>7500</v>
      </c>
      <c r="S18" s="28">
        <f>SUM('FY 2008 Rev 01-15-10'!F5:Q5)</f>
        <v>3209</v>
      </c>
      <c r="T18" s="28">
        <f>'FY 2008 Rev 01-15-10'!D5</f>
        <v>3209</v>
      </c>
      <c r="U18" s="12">
        <f t="shared" si="6"/>
        <v>1</v>
      </c>
    </row>
    <row r="19" spans="1:21" ht="15.75" customHeight="1">
      <c r="A19" s="186" t="s">
        <v>2</v>
      </c>
      <c r="B19" s="186"/>
      <c r="C19" s="16">
        <f>'FY 2010 Rev as of 01-15-10'!E10</f>
        <v>12094490</v>
      </c>
      <c r="D19" s="28">
        <f>'FY2010 Rev as of 10-13-10 '!D10</f>
        <v>12058465.6</v>
      </c>
      <c r="E19" s="12">
        <f t="shared" si="0"/>
        <v>0.9970214204980945</v>
      </c>
      <c r="F19" s="29">
        <f t="shared" si="1"/>
        <v>-36024.400000000373</v>
      </c>
      <c r="G19" s="14"/>
      <c r="H19" s="27">
        <f>C19-D19</f>
        <v>36024.400000000373</v>
      </c>
      <c r="I19" s="10">
        <v>1</v>
      </c>
      <c r="J19" s="21" t="str">
        <f t="shared" si="2"/>
        <v>Fees/Charges for Services</v>
      </c>
      <c r="K19" s="16">
        <f t="shared" si="3"/>
        <v>12094490</v>
      </c>
      <c r="L19" s="28">
        <f t="shared" si="3"/>
        <v>12058465.6</v>
      </c>
      <c r="M19" s="12">
        <f t="shared" si="4"/>
        <v>0.9970214204980945</v>
      </c>
      <c r="N19" s="28">
        <f>'FY 2009 Rev 01-15-10'!E10</f>
        <v>11806400</v>
      </c>
      <c r="O19" s="28">
        <f>SUM('FY 2009 Rev 01-15-10'!F10:Q10)</f>
        <v>13174508.390000002</v>
      </c>
      <c r="P19" s="28">
        <f>'FY 2009 Rev 01-15-10'!D10</f>
        <v>13237833.390000001</v>
      </c>
      <c r="Q19" s="12">
        <f t="shared" si="5"/>
        <v>0.99521636221469334</v>
      </c>
      <c r="R19" s="28">
        <f>'FY 2008 Rev 01-15-10'!E10</f>
        <v>11740700</v>
      </c>
      <c r="S19" s="28">
        <f>SUM('FY 2008 Rev 01-15-10'!F10:Q10)</f>
        <v>13297241.34</v>
      </c>
      <c r="T19" s="28">
        <f>'FY 2008 Rev 01-15-10'!D10</f>
        <v>13297241.34</v>
      </c>
      <c r="U19" s="12">
        <f t="shared" si="6"/>
        <v>1</v>
      </c>
    </row>
    <row r="20" spans="1:21" ht="15.75" customHeight="1">
      <c r="A20" s="186" t="s">
        <v>4</v>
      </c>
      <c r="B20" s="186"/>
      <c r="C20" s="16">
        <f>'FY 2010 Rev as of 01-15-10'!E12</f>
        <v>2295355</v>
      </c>
      <c r="D20" s="28">
        <f>'FY2010 Rev as of 10-13-10 '!D12</f>
        <v>2013491.08</v>
      </c>
      <c r="E20" s="12">
        <f t="shared" si="0"/>
        <v>0.87720247194878354</v>
      </c>
      <c r="F20" s="29">
        <f t="shared" si="1"/>
        <v>-281863.91999999993</v>
      </c>
      <c r="G20" s="14"/>
      <c r="H20" s="27">
        <f>C20-D20</f>
        <v>281863.91999999993</v>
      </c>
      <c r="I20" s="10">
        <v>1</v>
      </c>
      <c r="J20" s="21" t="str">
        <f t="shared" si="2"/>
        <v>Fines</v>
      </c>
      <c r="K20" s="16">
        <f t="shared" si="3"/>
        <v>2295355</v>
      </c>
      <c r="L20" s="28">
        <f t="shared" si="3"/>
        <v>2013491.08</v>
      </c>
      <c r="M20" s="12">
        <f t="shared" si="4"/>
        <v>0.87720247194878354</v>
      </c>
      <c r="N20" s="28">
        <f>'FY 2009 Rev 01-15-10'!E12</f>
        <v>1904500</v>
      </c>
      <c r="O20" s="28">
        <f>SUM('FY 2009 Rev 01-15-10'!F12:Q12)</f>
        <v>2190630.58</v>
      </c>
      <c r="P20" s="28">
        <f>'FY 2009 Rev 01-15-10'!D12</f>
        <v>2213669.08</v>
      </c>
      <c r="Q20" s="12">
        <f t="shared" si="5"/>
        <v>0.98959261788125985</v>
      </c>
      <c r="R20" s="28">
        <f>'FY 2008 Rev 01-15-10'!E12</f>
        <v>2042325</v>
      </c>
      <c r="S20" s="28">
        <f>SUM('FY 2008 Rev 01-15-10'!F12:Q12)</f>
        <v>2340429.91</v>
      </c>
      <c r="T20" s="28">
        <f>'FY 2008 Rev 01-15-10'!D12</f>
        <v>2340429.91</v>
      </c>
      <c r="U20" s="12">
        <f t="shared" si="6"/>
        <v>1</v>
      </c>
    </row>
    <row r="21" spans="1:21" ht="15.75" customHeight="1">
      <c r="A21" s="186" t="s">
        <v>3</v>
      </c>
      <c r="B21" s="186"/>
      <c r="C21" s="16">
        <f>'FY 2010 Rev as of 01-15-10'!E14</f>
        <v>280881</v>
      </c>
      <c r="D21" s="28">
        <f>'FY2010 Rev as of 10-13-10 '!D14</f>
        <v>204373.62</v>
      </c>
      <c r="E21" s="12">
        <f t="shared" si="0"/>
        <v>0.72761639270723188</v>
      </c>
      <c r="F21" s="29">
        <f t="shared" si="1"/>
        <v>-76507.38</v>
      </c>
      <c r="G21" s="14"/>
      <c r="H21" s="27">
        <f>C21-D21</f>
        <v>76507.38</v>
      </c>
      <c r="I21" s="10">
        <v>1</v>
      </c>
      <c r="J21" s="21" t="str">
        <f t="shared" si="2"/>
        <v>Investment Revenue</v>
      </c>
      <c r="K21" s="16">
        <f t="shared" si="3"/>
        <v>280881</v>
      </c>
      <c r="L21" s="28">
        <f t="shared" si="3"/>
        <v>204373.62</v>
      </c>
      <c r="M21" s="12">
        <f t="shared" si="4"/>
        <v>0.72761639270723188</v>
      </c>
      <c r="N21" s="28">
        <f>'FY 2009 Rev 01-15-10'!E14</f>
        <v>305000</v>
      </c>
      <c r="O21" s="28">
        <f>SUM('FY 2009 Rev 01-15-10'!F14:Q14)</f>
        <v>275539.69999999995</v>
      </c>
      <c r="P21" s="28">
        <f>'FY 2009 Rev 01-15-10'!D14</f>
        <v>284617.61</v>
      </c>
      <c r="Q21" s="12">
        <f t="shared" si="5"/>
        <v>0.96810488992582</v>
      </c>
      <c r="R21" s="28">
        <f>'FY 2008 Rev 01-15-10'!E14</f>
        <v>572500</v>
      </c>
      <c r="S21" s="28">
        <f>SUM('FY 2008 Rev 01-15-10'!F14:Q14)</f>
        <v>457042.89</v>
      </c>
      <c r="T21" s="28">
        <f>'FY 2008 Rev 01-15-10'!D14</f>
        <v>457042.89</v>
      </c>
      <c r="U21" s="12">
        <f t="shared" si="6"/>
        <v>1</v>
      </c>
    </row>
    <row r="22" spans="1:21" ht="15.75" customHeight="1" thickBot="1">
      <c r="A22" s="186" t="s">
        <v>21</v>
      </c>
      <c r="B22" s="186"/>
      <c r="C22" s="16">
        <f>'FY 2010 Rev as of 01-15-10'!E16+'FY 2010 Rev as of 01-15-10'!E18+'FY 2010 Rev as of 01-15-10'!E20</f>
        <v>25400</v>
      </c>
      <c r="D22" s="28">
        <f>'FY2010 Rev as of 10-13-10 '!D16+'FY2010 Rev as of 10-13-10 '!D18+'FY2010 Rev as of 10-13-10 '!D20</f>
        <v>279774.43</v>
      </c>
      <c r="E22" s="12">
        <f t="shared" si="0"/>
        <v>11.014741338582677</v>
      </c>
      <c r="F22" s="29">
        <f t="shared" si="1"/>
        <v>254374.43</v>
      </c>
      <c r="G22" s="14"/>
      <c r="H22" s="27">
        <v>0</v>
      </c>
      <c r="I22" s="10">
        <v>1</v>
      </c>
      <c r="J22" s="21" t="str">
        <f t="shared" si="2"/>
        <v>Miscellaneous</v>
      </c>
      <c r="K22" s="52">
        <f t="shared" si="3"/>
        <v>25400</v>
      </c>
      <c r="L22" s="53">
        <f t="shared" si="3"/>
        <v>279774.43</v>
      </c>
      <c r="M22" s="77">
        <f t="shared" si="4"/>
        <v>11.014741338582677</v>
      </c>
      <c r="N22" s="53">
        <f>'FY 2009 Rev 01-15-10'!E16+'FY 2009 Rev 01-15-10'!E18+'FY 2009 Rev 01-15-10'!E20</f>
        <v>117000</v>
      </c>
      <c r="O22" s="53">
        <f>SUM('FY 2009 Rev 01-15-10'!F16:Q16,'FY 2009 Rev 01-15-10'!F18:Q18,'FY 2009 Rev 01-15-10'!F20:Q20)</f>
        <v>65838.149999999994</v>
      </c>
      <c r="P22" s="53">
        <f>'FY 2009 Rev 01-15-10'!D16+'FY 2009 Rev 01-15-10'!D18+'FY 2009 Rev 01-15-10'!D20</f>
        <v>65838.240000000005</v>
      </c>
      <c r="Q22" s="77">
        <f t="shared" si="5"/>
        <v>0.99999863301327596</v>
      </c>
      <c r="R22" s="53">
        <f>'FY 2008 Rev 01-15-10'!E16+'FY 2008 Rev 01-15-10'!E18+'FY 2008 Rev 01-15-10'!E20</f>
        <v>90000</v>
      </c>
      <c r="S22" s="53">
        <f>SUM('FY 2008 Rev 01-15-10'!F16:Q16,'FY 2008 Rev 01-15-10'!F18:Q18,'FY 2008 Rev 01-15-10'!F20:Q20)</f>
        <v>363410.55</v>
      </c>
      <c r="T22" s="53">
        <f>'FY 2008 Rev 01-15-10'!D16+'FY 2008 Rev 01-15-10'!D18+'FY 2008 Rev 01-15-10'!D20</f>
        <v>363410.55000000005</v>
      </c>
      <c r="U22" s="77">
        <f t="shared" si="6"/>
        <v>0.99999999999999989</v>
      </c>
    </row>
    <row r="23" spans="1:21" ht="15.75" customHeight="1" thickBot="1">
      <c r="A23" s="187" t="s">
        <v>22</v>
      </c>
      <c r="B23" s="187"/>
      <c r="C23" s="11">
        <f>SUM(C17:C22)</f>
        <v>19035975</v>
      </c>
      <c r="D23" s="11">
        <f>SUM(D17:D22)</f>
        <v>18890486.41</v>
      </c>
      <c r="E23" s="12">
        <f t="shared" si="0"/>
        <v>0.99235717687168634</v>
      </c>
      <c r="F23" s="17">
        <f>SUM(F17:F22)</f>
        <v>-145488.59000000061</v>
      </c>
      <c r="G23" s="14"/>
      <c r="H23" s="27"/>
      <c r="J23" s="21"/>
      <c r="K23" s="51">
        <f>SUM(K17:K22)</f>
        <v>19035975</v>
      </c>
      <c r="L23" s="51">
        <f>SUM(L17:L22)</f>
        <v>18890486.41</v>
      </c>
      <c r="M23" s="78">
        <f t="shared" si="4"/>
        <v>0.99235717687168634</v>
      </c>
      <c r="N23" s="51">
        <f>SUM(N17:N22)</f>
        <v>18205911</v>
      </c>
      <c r="O23" s="51">
        <f>SUM(O17:O22)</f>
        <v>19797013.239999998</v>
      </c>
      <c r="P23" s="51">
        <f>SUM(P17:P22)</f>
        <v>19899082.66</v>
      </c>
      <c r="Q23" s="78">
        <f t="shared" si="5"/>
        <v>0.99487064696679828</v>
      </c>
      <c r="R23" s="51">
        <f>SUM(R17:R22)</f>
        <v>15215505</v>
      </c>
      <c r="S23" s="51">
        <f>SUM(S17:S22)</f>
        <v>17250173.280000001</v>
      </c>
      <c r="T23" s="51">
        <f>SUM(T17:T22)</f>
        <v>17250173.280000001</v>
      </c>
      <c r="U23" s="78">
        <f t="shared" si="6"/>
        <v>1</v>
      </c>
    </row>
    <row r="24" spans="1:21" ht="22.5" customHeight="1" thickTop="1">
      <c r="J24" s="21"/>
      <c r="K24" s="26"/>
    </row>
    <row r="25" spans="1:21">
      <c r="J25" s="21"/>
      <c r="K25" s="26"/>
    </row>
    <row r="39" spans="1:26">
      <c r="J39" s="65"/>
      <c r="K39" s="65"/>
    </row>
    <row r="40" spans="1:26">
      <c r="J40" s="65"/>
      <c r="K40" s="65"/>
    </row>
    <row r="41" spans="1:26">
      <c r="J41" s="65"/>
      <c r="K41" s="65"/>
    </row>
    <row r="42" spans="1:26">
      <c r="J42" s="65"/>
      <c r="K42" s="65"/>
    </row>
    <row r="43" spans="1:26">
      <c r="J43" s="65"/>
      <c r="K43" s="65"/>
    </row>
    <row r="44" spans="1:26">
      <c r="J44" s="65"/>
      <c r="K44" s="65"/>
    </row>
    <row r="45" spans="1:26" ht="33" customHeight="1">
      <c r="A45" s="183" t="s">
        <v>88</v>
      </c>
      <c r="B45" s="183"/>
      <c r="C45" s="183"/>
      <c r="D45" s="183"/>
      <c r="E45" s="183"/>
      <c r="F45" s="183"/>
      <c r="J45" s="65"/>
      <c r="K45" s="65"/>
    </row>
    <row r="46" spans="1:26" ht="12" customHeight="1">
      <c r="B46" s="18"/>
      <c r="C46" s="18"/>
      <c r="D46" s="18"/>
      <c r="E46" s="18"/>
      <c r="J46" s="65"/>
      <c r="K46" s="65"/>
    </row>
    <row r="47" spans="1:26" ht="36" customHeight="1">
      <c r="A47" s="178"/>
      <c r="B47" s="178"/>
      <c r="C47" s="19" t="s">
        <v>65</v>
      </c>
      <c r="D47" s="19" t="s">
        <v>34</v>
      </c>
      <c r="E47" s="19" t="s">
        <v>19</v>
      </c>
      <c r="F47" s="9" t="s">
        <v>105</v>
      </c>
      <c r="G47" s="10">
        <v>1</v>
      </c>
      <c r="H47" s="2" t="s">
        <v>32</v>
      </c>
      <c r="K47" s="79" t="s">
        <v>65</v>
      </c>
      <c r="L47" s="75" t="s">
        <v>78</v>
      </c>
      <c r="M47" s="76">
        <v>2010</v>
      </c>
      <c r="N47" s="75" t="s">
        <v>79</v>
      </c>
      <c r="O47" s="75" t="s">
        <v>1</v>
      </c>
      <c r="P47" s="75" t="s">
        <v>104</v>
      </c>
      <c r="Q47" s="76">
        <v>2009</v>
      </c>
      <c r="R47" s="75" t="s">
        <v>81</v>
      </c>
      <c r="S47" s="75">
        <v>2009</v>
      </c>
      <c r="T47" s="75" t="s">
        <v>82</v>
      </c>
      <c r="U47" s="75" t="s">
        <v>74</v>
      </c>
      <c r="V47" s="75" t="s">
        <v>108</v>
      </c>
      <c r="W47" s="76">
        <v>2008</v>
      </c>
      <c r="X47" s="75" t="s">
        <v>84</v>
      </c>
      <c r="Y47" s="75">
        <v>2008</v>
      </c>
      <c r="Z47" s="75" t="s">
        <v>85</v>
      </c>
    </row>
    <row r="48" spans="1:26" ht="15.75" customHeight="1">
      <c r="A48" s="179" t="s">
        <v>23</v>
      </c>
      <c r="B48" s="180"/>
      <c r="C48" s="11">
        <f>'FY 2010 Exp as of 01-06-10'!C2</f>
        <v>44035</v>
      </c>
      <c r="D48" s="11">
        <f>'FY2010 Exp as of 10-13-10'!E2</f>
        <v>8747.1</v>
      </c>
      <c r="E48" s="12">
        <f>(D48/C48)</f>
        <v>0.19863971840581357</v>
      </c>
      <c r="F48" s="11">
        <f>C48-D48</f>
        <v>35287.9</v>
      </c>
      <c r="G48" s="23"/>
      <c r="H48" s="24">
        <f>C48-D48</f>
        <v>35287.9</v>
      </c>
      <c r="I48" s="1">
        <v>1</v>
      </c>
      <c r="J48" s="65" t="str">
        <f>A48</f>
        <v>Conservation</v>
      </c>
      <c r="K48" s="13">
        <f t="shared" ref="K48:L50" si="7">C48</f>
        <v>44035</v>
      </c>
      <c r="L48" s="13">
        <f t="shared" si="7"/>
        <v>8747.1</v>
      </c>
      <c r="M48" s="80">
        <f>(L48/K48)</f>
        <v>0.19863971840581357</v>
      </c>
      <c r="N48" s="13">
        <f>K48-L48</f>
        <v>35287.9</v>
      </c>
      <c r="O48" s="13">
        <f>'FY 2009 Exp 01-06-10'!C2</f>
        <v>44035</v>
      </c>
      <c r="P48" s="13">
        <f>SUM('FY 2009 Exp 01-06-10'!F2:Q2)</f>
        <v>43350.66</v>
      </c>
      <c r="Q48" s="80">
        <f>P48/O48</f>
        <v>0.98445918019757017</v>
      </c>
      <c r="R48" s="13">
        <f>'FY 2009 Exp 01-06-10'!D2</f>
        <v>217718</v>
      </c>
      <c r="S48" s="80">
        <f>P48/R48</f>
        <v>0.19911380776968374</v>
      </c>
      <c r="T48" s="13">
        <f>O48-P48</f>
        <v>684.33999999999651</v>
      </c>
      <c r="U48" s="13">
        <f>'FY 2008 Exp 01-06-10'!C2</f>
        <v>44035</v>
      </c>
      <c r="V48" s="13">
        <f>SUM('FY 2008 Exp 01-06-10'!F2:Q2)</f>
        <v>243785.86000000002</v>
      </c>
      <c r="W48" s="80">
        <f>V48/U48</f>
        <v>5.5361839445895313</v>
      </c>
      <c r="X48" s="13">
        <f>'FY 2008 Exp 01-06-10'!D2</f>
        <v>401290</v>
      </c>
      <c r="Y48" s="80">
        <f>V48/X48</f>
        <v>0.60750544494006831</v>
      </c>
      <c r="Z48" s="13">
        <f>U48-V48</f>
        <v>-199750.86000000002</v>
      </c>
    </row>
    <row r="49" spans="1:26" ht="15.75" customHeight="1">
      <c r="A49" s="179" t="s">
        <v>102</v>
      </c>
      <c r="B49" s="180"/>
      <c r="C49" s="11">
        <f>'FY 2010 Exp as of 01-06-10'!C4</f>
        <v>19347332</v>
      </c>
      <c r="D49" s="28">
        <f>'FY2010 Exp as of 10-13-10'!E4</f>
        <v>16476256</v>
      </c>
      <c r="E49" s="12">
        <f>(D49/C49)</f>
        <v>0.85160351825254255</v>
      </c>
      <c r="F49" s="11">
        <f>C49-D49</f>
        <v>2871076</v>
      </c>
      <c r="G49" s="23"/>
      <c r="H49" s="25">
        <f>C49-D49</f>
        <v>2871076</v>
      </c>
      <c r="I49" s="1">
        <v>1</v>
      </c>
      <c r="J49" s="65" t="str">
        <f>A49</f>
        <v>Public Transport</v>
      </c>
      <c r="K49" s="81">
        <f t="shared" si="7"/>
        <v>19347332</v>
      </c>
      <c r="L49" s="81">
        <f t="shared" si="7"/>
        <v>16476256</v>
      </c>
      <c r="M49" s="80">
        <f>(L49/K49)</f>
        <v>0.85160351825254255</v>
      </c>
      <c r="N49" s="81">
        <f>K49-L49</f>
        <v>2871076</v>
      </c>
      <c r="O49" s="81">
        <f>'FY 2009 Exp 01-06-10'!C4</f>
        <v>19861346</v>
      </c>
      <c r="P49" s="81">
        <f>SUM('FY 2009 Exp 01-06-10'!F4:Q4)</f>
        <v>15350827.599999998</v>
      </c>
      <c r="Q49" s="80">
        <f>P49/O49</f>
        <v>0.77289966148316425</v>
      </c>
      <c r="R49" s="81">
        <f>'FY 2009 Exp 01-06-10'!D4</f>
        <v>23302893</v>
      </c>
      <c r="S49" s="80">
        <f>P49/R49</f>
        <v>0.65875200988993077</v>
      </c>
      <c r="T49" s="13">
        <f>O49-P49</f>
        <v>4510518.4000000022</v>
      </c>
      <c r="U49" s="81">
        <f>'FY 2008 Exp 01-06-10'!C4</f>
        <v>17022879</v>
      </c>
      <c r="V49" s="81">
        <f>SUM('FY 2008 Exp 01-06-10'!F4:Q4)</f>
        <v>15614231.35</v>
      </c>
      <c r="W49" s="80">
        <f>V49/U49</f>
        <v>0.91724974077534116</v>
      </c>
      <c r="X49" s="81">
        <f>'FY 2008 Exp 01-06-10'!D4</f>
        <v>20274507</v>
      </c>
      <c r="Y49" s="80">
        <f>V49/X49</f>
        <v>0.77014111119939932</v>
      </c>
      <c r="Z49" s="13">
        <f>U49-V49</f>
        <v>1408647.6500000004</v>
      </c>
    </row>
    <row r="50" spans="1:26" ht="15.75" customHeight="1" thickBot="1">
      <c r="A50" s="179" t="s">
        <v>24</v>
      </c>
      <c r="B50" s="180"/>
      <c r="C50" s="11">
        <f>'FY 2010 Exp as of 01-06-10'!C5</f>
        <v>0</v>
      </c>
      <c r="D50" s="11">
        <f>'FY2010 Exp as of 10-13-10'!E5</f>
        <v>0</v>
      </c>
      <c r="E50" s="12">
        <v>0</v>
      </c>
      <c r="F50" s="11">
        <f>C50-D50</f>
        <v>0</v>
      </c>
      <c r="G50" s="23"/>
      <c r="H50" s="25">
        <f>C50-D50</f>
        <v>0</v>
      </c>
      <c r="I50" s="1">
        <v>1</v>
      </c>
      <c r="J50" s="65" t="str">
        <f>A50</f>
        <v>Transfers</v>
      </c>
      <c r="K50" s="83">
        <f t="shared" si="7"/>
        <v>0</v>
      </c>
      <c r="L50" s="83">
        <f t="shared" si="7"/>
        <v>0</v>
      </c>
      <c r="M50" s="77" t="e">
        <f>(L50/K50)</f>
        <v>#DIV/0!</v>
      </c>
      <c r="N50" s="83">
        <f>K50-L50</f>
        <v>0</v>
      </c>
      <c r="O50" s="83">
        <f>'FY 2009 Exp 01-06-10'!C5</f>
        <v>0</v>
      </c>
      <c r="P50" s="83">
        <f>SUM('FY 2009 Exp 01-06-10'!F5:Q5)</f>
        <v>433900</v>
      </c>
      <c r="Q50" s="77" t="e">
        <f>P50/O50</f>
        <v>#DIV/0!</v>
      </c>
      <c r="R50" s="83">
        <f>'FY 2009 Exp 01-06-10'!D5</f>
        <v>433900</v>
      </c>
      <c r="S50" s="77">
        <f>P50/R50</f>
        <v>1</v>
      </c>
      <c r="T50" s="84">
        <f>O50-P50</f>
        <v>-433900</v>
      </c>
      <c r="U50" s="83">
        <f>'FY 2008 Exp 01-06-10'!C5</f>
        <v>0</v>
      </c>
      <c r="V50" s="83">
        <f>SUM('FY 2008 Exp 01-06-10'!F5:Q5)</f>
        <v>0</v>
      </c>
      <c r="W50" s="77" t="e">
        <f>V50/U50</f>
        <v>#DIV/0!</v>
      </c>
      <c r="X50" s="83">
        <f>'FY 2008 Exp 01-06-10'!D5</f>
        <v>0</v>
      </c>
      <c r="Y50" s="77" t="e">
        <f>V50/X50</f>
        <v>#DIV/0!</v>
      </c>
      <c r="Z50" s="84">
        <f>U50-V50</f>
        <v>0</v>
      </c>
    </row>
    <row r="51" spans="1:26" ht="15.75" customHeight="1" thickBot="1">
      <c r="A51" s="181" t="s">
        <v>22</v>
      </c>
      <c r="B51" s="182"/>
      <c r="C51" s="20">
        <f>SUM(C48:C50)</f>
        <v>19391367</v>
      </c>
      <c r="D51" s="20">
        <f>SUM(D48:D50)</f>
        <v>16485003.1</v>
      </c>
      <c r="E51" s="12">
        <f>(D51/C51)</f>
        <v>0.85012073156059598</v>
      </c>
      <c r="F51" s="13">
        <f>SUM(F48:F50)</f>
        <v>2906363.9</v>
      </c>
      <c r="G51" s="23"/>
      <c r="H51" s="25">
        <f>C51-D51</f>
        <v>2906363.9000000004</v>
      </c>
      <c r="I51" s="1">
        <v>1</v>
      </c>
      <c r="J51" s="50"/>
      <c r="K51" s="82">
        <f>SUM(K48:K50)</f>
        <v>19391367</v>
      </c>
      <c r="L51" s="82">
        <f>SUM(L48:L50)</f>
        <v>16485003.1</v>
      </c>
      <c r="M51" s="78">
        <f>(L51/K51)</f>
        <v>0.85012073156059598</v>
      </c>
      <c r="N51" s="82">
        <f>SUM(N48:N50)</f>
        <v>2906363.9</v>
      </c>
      <c r="O51" s="82">
        <f>SUM(O48:O50)</f>
        <v>19905381</v>
      </c>
      <c r="P51" s="82">
        <f>SUM(P48:P50)</f>
        <v>15828078.259999998</v>
      </c>
      <c r="Q51" s="78">
        <f>P51/O51</f>
        <v>0.79516580265406611</v>
      </c>
      <c r="R51" s="82">
        <f>SUM(R48:R50)</f>
        <v>23954511</v>
      </c>
      <c r="S51" s="78">
        <f>P51/R51</f>
        <v>0.66075564055555125</v>
      </c>
      <c r="T51" s="82">
        <f>SUM(T48:T50)</f>
        <v>4077302.7400000021</v>
      </c>
      <c r="U51" s="82">
        <f>SUM(U48:U50)</f>
        <v>17066914</v>
      </c>
      <c r="V51" s="82">
        <f>SUM(V48:V50)</f>
        <v>15858017.209999999</v>
      </c>
      <c r="W51" s="78">
        <f>V51/U51</f>
        <v>0.92916723023271808</v>
      </c>
      <c r="X51" s="82">
        <f>SUM(X48:X50)</f>
        <v>20675797</v>
      </c>
      <c r="Y51" s="78">
        <f>V51/X51</f>
        <v>0.76698456702781515</v>
      </c>
      <c r="Z51" s="82">
        <f>SUM(Z48:Z50)</f>
        <v>1208896.7900000003</v>
      </c>
    </row>
    <row r="52" spans="1:26" ht="13.5" thickTop="1"/>
  </sheetData>
  <mergeCells count="17">
    <mergeCell ref="A45:F45"/>
    <mergeCell ref="B3:D3"/>
    <mergeCell ref="A13:F13"/>
    <mergeCell ref="A14:F14"/>
    <mergeCell ref="A16:B16"/>
    <mergeCell ref="A17:B17"/>
    <mergeCell ref="A18:B18"/>
    <mergeCell ref="A19:B19"/>
    <mergeCell ref="A20:B20"/>
    <mergeCell ref="A21:B21"/>
    <mergeCell ref="A22:B22"/>
    <mergeCell ref="A23:B23"/>
    <mergeCell ref="A47:B47"/>
    <mergeCell ref="A48:B48"/>
    <mergeCell ref="A49:B49"/>
    <mergeCell ref="A50:B50"/>
    <mergeCell ref="A51:B51"/>
  </mergeCells>
  <pageMargins left="0.7" right="0.7" top="0.75" bottom="0.75" header="0.3" footer="0.3"/>
  <pageSetup scale="99" orientation="portrait" horizontalDpi="1200" verticalDpi="1200" r:id="rId1"/>
  <rowBreaks count="2" manualBreakCount="2">
    <brk id="44" max="16383" man="1"/>
    <brk id="78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8" sqref="F8"/>
    </sheetView>
  </sheetViews>
  <sheetFormatPr defaultColWidth="12.625" defaultRowHeight="12.75"/>
  <cols>
    <col min="1" max="1" width="17.5" style="37" bestFit="1" customWidth="1"/>
    <col min="2" max="2" width="23.375" style="37" bestFit="1" customWidth="1"/>
    <col min="3" max="4" width="13.5" style="37" bestFit="1" customWidth="1"/>
    <col min="5" max="5" width="12.5" style="37" bestFit="1" customWidth="1"/>
    <col min="6" max="16384" width="12.625" style="37"/>
  </cols>
  <sheetData>
    <row r="1" spans="1:6" ht="13.5" customHeight="1">
      <c r="A1" s="47" t="s">
        <v>67</v>
      </c>
      <c r="B1" s="47" t="s">
        <v>39</v>
      </c>
      <c r="C1" s="48" t="s">
        <v>68</v>
      </c>
      <c r="D1" s="48" t="s">
        <v>69</v>
      </c>
      <c r="E1" s="49" t="s">
        <v>70</v>
      </c>
      <c r="F1" s="36"/>
    </row>
    <row r="2" spans="1:6" ht="15" customHeight="1">
      <c r="A2" s="38">
        <v>80</v>
      </c>
      <c r="B2" s="39" t="s">
        <v>7</v>
      </c>
      <c r="C2" s="85">
        <v>44035</v>
      </c>
      <c r="D2" s="85">
        <v>46288</v>
      </c>
      <c r="E2" s="86">
        <v>8747.1</v>
      </c>
      <c r="F2" s="36"/>
    </row>
    <row r="3" spans="1:6" ht="15" customHeight="1">
      <c r="A3" s="38">
        <v>41</v>
      </c>
      <c r="B3" s="39" t="s">
        <v>35</v>
      </c>
      <c r="C3" s="85">
        <v>0</v>
      </c>
      <c r="D3" s="85">
        <v>0</v>
      </c>
      <c r="E3" s="86">
        <v>0</v>
      </c>
      <c r="F3" s="36"/>
    </row>
    <row r="4" spans="1:6" ht="15" customHeight="1">
      <c r="A4" s="38">
        <v>68</v>
      </c>
      <c r="B4" s="39" t="s">
        <v>71</v>
      </c>
      <c r="C4" s="85">
        <v>19347332</v>
      </c>
      <c r="D4" s="85">
        <v>24918727</v>
      </c>
      <c r="E4" s="86">
        <v>16476256</v>
      </c>
      <c r="F4" s="36"/>
    </row>
    <row r="5" spans="1:6" ht="15" customHeight="1">
      <c r="A5" s="40">
        <v>88</v>
      </c>
      <c r="B5" s="41" t="s">
        <v>8</v>
      </c>
      <c r="C5" s="85">
        <v>0</v>
      </c>
      <c r="D5" s="85">
        <v>0</v>
      </c>
      <c r="E5" s="86">
        <v>0</v>
      </c>
      <c r="F5" s="36"/>
    </row>
    <row r="6" spans="1:6" ht="12.75" customHeight="1">
      <c r="A6" s="42"/>
      <c r="B6" s="36"/>
      <c r="C6" s="43">
        <f>SUBTOTAL(9,C2:C5)</f>
        <v>19391367</v>
      </c>
      <c r="D6" s="43">
        <f>SUBTOTAL(9,D2:D5)</f>
        <v>24965015</v>
      </c>
      <c r="E6" s="87">
        <f>SUBTOTAL(9,E2:E5)</f>
        <v>16485003.1</v>
      </c>
      <c r="F6" s="36"/>
    </row>
    <row r="7" spans="1:6" ht="14.25" customHeight="1">
      <c r="A7" s="44"/>
      <c r="B7" s="45"/>
      <c r="C7" s="45"/>
      <c r="D7" s="45"/>
      <c r="E7" s="46"/>
      <c r="F7" s="36"/>
    </row>
    <row r="8" spans="1:6" ht="242.25" customHeight="1">
      <c r="A8" s="36"/>
      <c r="B8" s="36"/>
      <c r="C8" s="36"/>
      <c r="D8" s="36"/>
      <c r="E8" s="36"/>
      <c r="F8" s="3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A28" sqref="A28"/>
    </sheetView>
  </sheetViews>
  <sheetFormatPr defaultRowHeight="15.75"/>
  <cols>
    <col min="1" max="1" width="27.25" bestFit="1" customWidth="1"/>
    <col min="2" max="2" width="26.625" bestFit="1" customWidth="1"/>
    <col min="3" max="3" width="5.5" bestFit="1" customWidth="1"/>
    <col min="4" max="4" width="13.875" customWidth="1"/>
    <col min="5" max="5" width="14.875" bestFit="1" customWidth="1"/>
  </cols>
  <sheetData>
    <row r="1" spans="1:5" ht="25.5">
      <c r="A1" s="88" t="s">
        <v>39</v>
      </c>
      <c r="B1" s="89" t="s">
        <v>40</v>
      </c>
      <c r="C1" s="89" t="s">
        <v>41</v>
      </c>
      <c r="D1" s="123" t="s">
        <v>5</v>
      </c>
      <c r="E1" s="90" t="s">
        <v>42</v>
      </c>
    </row>
    <row r="2" spans="1:5">
      <c r="A2" s="92" t="s">
        <v>10</v>
      </c>
      <c r="B2" s="93" t="s">
        <v>55</v>
      </c>
      <c r="C2" s="94">
        <v>2010</v>
      </c>
      <c r="D2" s="103">
        <v>4332761.68</v>
      </c>
      <c r="E2" s="117">
        <v>4337995</v>
      </c>
    </row>
    <row r="3" spans="1:5" ht="21" customHeight="1">
      <c r="A3" s="95"/>
      <c r="B3" s="96"/>
      <c r="C3" s="96"/>
      <c r="D3" s="105">
        <f>SUBTOTAL(9,D2:D2)</f>
        <v>4332761.68</v>
      </c>
      <c r="E3" s="118">
        <f>SUBTOTAL(9,E2:E2)</f>
        <v>4337995</v>
      </c>
    </row>
    <row r="4" spans="1:5">
      <c r="A4" s="92" t="s">
        <v>0</v>
      </c>
      <c r="B4" s="93" t="s">
        <v>56</v>
      </c>
      <c r="C4" s="94">
        <v>2010</v>
      </c>
      <c r="D4" s="103">
        <v>1620</v>
      </c>
      <c r="E4" s="117">
        <v>1854</v>
      </c>
    </row>
    <row r="5" spans="1:5" ht="21" customHeight="1">
      <c r="A5" s="95"/>
      <c r="B5" s="96"/>
      <c r="C5" s="96"/>
      <c r="D5" s="105">
        <f>SUBTOTAL(9,D4:D4)</f>
        <v>1620</v>
      </c>
      <c r="E5" s="118">
        <f>SUBTOTAL(9,E4:E4)</f>
        <v>1854</v>
      </c>
    </row>
    <row r="6" spans="1:5">
      <c r="A6" s="92" t="s">
        <v>11</v>
      </c>
      <c r="B6" s="93" t="s">
        <v>57</v>
      </c>
      <c r="C6" s="94">
        <v>2010</v>
      </c>
      <c r="D6" s="85">
        <v>0</v>
      </c>
      <c r="E6" s="86">
        <v>0</v>
      </c>
    </row>
    <row r="7" spans="1:5" ht="21" customHeight="1">
      <c r="A7" s="95"/>
      <c r="B7" s="96"/>
      <c r="C7" s="96"/>
      <c r="D7" s="105">
        <f>SUBTOTAL(9,D6:D6)</f>
        <v>0</v>
      </c>
      <c r="E7" s="118">
        <f>SUBTOTAL(9,E6:E6)</f>
        <v>0</v>
      </c>
    </row>
    <row r="8" spans="1:5">
      <c r="A8" s="99" t="s">
        <v>14</v>
      </c>
      <c r="B8" s="93" t="s">
        <v>58</v>
      </c>
      <c r="C8" s="94">
        <v>2010</v>
      </c>
      <c r="D8" s="85">
        <v>459843.84000000003</v>
      </c>
      <c r="E8" s="86">
        <v>301400</v>
      </c>
    </row>
    <row r="9" spans="1:5">
      <c r="A9" s="100"/>
      <c r="B9" s="93" t="s">
        <v>86</v>
      </c>
      <c r="C9" s="94">
        <v>2010</v>
      </c>
      <c r="D9" s="85">
        <v>11598621.76</v>
      </c>
      <c r="E9" s="86">
        <v>11793090</v>
      </c>
    </row>
    <row r="10" spans="1:5" ht="21" customHeight="1">
      <c r="A10" s="95"/>
      <c r="B10" s="96"/>
      <c r="C10" s="96"/>
      <c r="D10" s="105">
        <f>SUBTOTAL(9,D8:D9)</f>
        <v>12058465.6</v>
      </c>
      <c r="E10" s="105">
        <f>SUBTOTAL(9,E8:E9)</f>
        <v>12094490</v>
      </c>
    </row>
    <row r="11" spans="1:5">
      <c r="A11" s="92" t="s">
        <v>16</v>
      </c>
      <c r="B11" s="93" t="s">
        <v>59</v>
      </c>
      <c r="C11" s="94">
        <v>2010</v>
      </c>
      <c r="D11" s="85">
        <v>2013491.08</v>
      </c>
      <c r="E11" s="86">
        <v>2295355</v>
      </c>
    </row>
    <row r="12" spans="1:5" ht="21" customHeight="1">
      <c r="A12" s="95"/>
      <c r="B12" s="96"/>
      <c r="C12" s="96"/>
      <c r="D12" s="105">
        <f>SUBTOTAL(9,D11:D11)</f>
        <v>2013491.08</v>
      </c>
      <c r="E12" s="118">
        <f>SUBTOTAL(9,E11:E11)</f>
        <v>2295355</v>
      </c>
    </row>
    <row r="13" spans="1:5">
      <c r="A13" s="92" t="s">
        <v>12</v>
      </c>
      <c r="B13" s="93" t="s">
        <v>60</v>
      </c>
      <c r="C13" s="94">
        <v>2010</v>
      </c>
      <c r="D13" s="85">
        <v>204373.62</v>
      </c>
      <c r="E13" s="86">
        <v>280881</v>
      </c>
    </row>
    <row r="14" spans="1:5" ht="21" customHeight="1">
      <c r="A14" s="95"/>
      <c r="B14" s="96"/>
      <c r="C14" s="96"/>
      <c r="D14" s="105">
        <f>SUBTOTAL(9,D13:D13)</f>
        <v>204373.62</v>
      </c>
      <c r="E14" s="118">
        <f>SUBTOTAL(9,E13:E13)</f>
        <v>280881</v>
      </c>
    </row>
    <row r="15" spans="1:5">
      <c r="A15" s="92" t="s">
        <v>15</v>
      </c>
      <c r="B15" s="93" t="s">
        <v>61</v>
      </c>
      <c r="C15" s="94">
        <v>2010</v>
      </c>
      <c r="D15" s="85">
        <v>0</v>
      </c>
      <c r="E15" s="86">
        <v>0</v>
      </c>
    </row>
    <row r="16" spans="1:5" ht="21" customHeight="1">
      <c r="A16" s="95"/>
      <c r="B16" s="96"/>
      <c r="C16" s="96"/>
      <c r="D16" s="105">
        <f>SUBTOTAL(9,D15:D15)</f>
        <v>0</v>
      </c>
      <c r="E16" s="118">
        <f>SUBTOTAL(9,E15:E15)</f>
        <v>0</v>
      </c>
    </row>
    <row r="17" spans="1:5">
      <c r="A17" s="92" t="s">
        <v>13</v>
      </c>
      <c r="B17" s="93" t="s">
        <v>62</v>
      </c>
      <c r="C17" s="94">
        <v>2010</v>
      </c>
      <c r="D17" s="85">
        <v>258230.6</v>
      </c>
      <c r="E17" s="86">
        <v>15400</v>
      </c>
    </row>
    <row r="18" spans="1:5" ht="21" customHeight="1">
      <c r="A18" s="95"/>
      <c r="B18" s="96"/>
      <c r="C18" s="96"/>
      <c r="D18" s="105">
        <f>SUBTOTAL(9,D17:D17)</f>
        <v>258230.6</v>
      </c>
      <c r="E18" s="118">
        <f>SUBTOTAL(9,E17:E17)</f>
        <v>15400</v>
      </c>
    </row>
    <row r="19" spans="1:5">
      <c r="A19" s="92" t="s">
        <v>6</v>
      </c>
      <c r="B19" s="93" t="s">
        <v>63</v>
      </c>
      <c r="C19" s="94">
        <v>2010</v>
      </c>
      <c r="D19" s="85">
        <v>21543.83</v>
      </c>
      <c r="E19" s="86">
        <v>10000</v>
      </c>
    </row>
    <row r="20" spans="1:5" ht="21" customHeight="1">
      <c r="A20" s="95"/>
      <c r="B20" s="96"/>
      <c r="C20" s="96"/>
      <c r="D20" s="101">
        <f>SUBTOTAL(9,D19:D19)</f>
        <v>21543.83</v>
      </c>
      <c r="E20" s="119">
        <f>SUBTOTAL(9,E19:E19)</f>
        <v>10000</v>
      </c>
    </row>
    <row r="21" spans="1:5" ht="21" customHeight="1">
      <c r="A21" s="124"/>
      <c r="B21" s="120"/>
      <c r="C21" s="120"/>
      <c r="D21" s="121">
        <f>SUBTOTAL(9,D2:D20)</f>
        <v>18890486.41</v>
      </c>
      <c r="E21" s="122">
        <f>SUBTOTAL(9,E2:E20)</f>
        <v>19035975</v>
      </c>
    </row>
    <row r="22" spans="1:5">
      <c r="A22" s="102"/>
      <c r="B22" s="102"/>
      <c r="C22" s="102"/>
      <c r="D22" s="102"/>
      <c r="E22" s="10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" sqref="E2"/>
    </sheetView>
  </sheetViews>
  <sheetFormatPr defaultRowHeight="15.75"/>
  <cols>
    <col min="1" max="1" width="27.25" bestFit="1" customWidth="1"/>
    <col min="2" max="2" width="26.625" bestFit="1" customWidth="1"/>
    <col min="3" max="3" width="5.5" bestFit="1" customWidth="1"/>
    <col min="4" max="4" width="13.875" customWidth="1"/>
    <col min="5" max="5" width="14.875" bestFit="1" customWidth="1"/>
  </cols>
  <sheetData>
    <row r="1" spans="1:5" ht="25.5">
      <c r="A1" s="88" t="s">
        <v>39</v>
      </c>
      <c r="B1" s="89" t="s">
        <v>40</v>
      </c>
      <c r="C1" s="89" t="s">
        <v>41</v>
      </c>
      <c r="D1" s="123" t="s">
        <v>5</v>
      </c>
      <c r="E1" s="90" t="s">
        <v>42</v>
      </c>
    </row>
    <row r="2" spans="1:5">
      <c r="A2" s="92" t="s">
        <v>10</v>
      </c>
      <c r="B2" s="93" t="s">
        <v>55</v>
      </c>
      <c r="C2" s="94">
        <v>2010</v>
      </c>
      <c r="D2" s="103">
        <v>4303975.5599999996</v>
      </c>
      <c r="E2" s="117">
        <v>4337995</v>
      </c>
    </row>
    <row r="3" spans="1:5" ht="21" customHeight="1">
      <c r="A3" s="95"/>
      <c r="B3" s="96"/>
      <c r="C3" s="96"/>
      <c r="D3" s="105">
        <f>SUBTOTAL(9,D2:D2)</f>
        <v>4303975.5599999996</v>
      </c>
      <c r="E3" s="118">
        <f>SUBTOTAL(9,E2:E2)</f>
        <v>4337995</v>
      </c>
    </row>
    <row r="4" spans="1:5">
      <c r="A4" s="92" t="s">
        <v>0</v>
      </c>
      <c r="B4" s="93" t="s">
        <v>56</v>
      </c>
      <c r="C4" s="94">
        <v>2010</v>
      </c>
      <c r="D4" s="103">
        <v>1188</v>
      </c>
      <c r="E4" s="117">
        <v>1854</v>
      </c>
    </row>
    <row r="5" spans="1:5" ht="21" customHeight="1">
      <c r="A5" s="95"/>
      <c r="B5" s="96"/>
      <c r="C5" s="96"/>
      <c r="D5" s="105">
        <f>SUBTOTAL(9,D4:D4)</f>
        <v>1188</v>
      </c>
      <c r="E5" s="118">
        <f>SUBTOTAL(9,E4:E4)</f>
        <v>1854</v>
      </c>
    </row>
    <row r="6" spans="1:5">
      <c r="A6" s="92" t="s">
        <v>11</v>
      </c>
      <c r="B6" s="93" t="s">
        <v>57</v>
      </c>
      <c r="C6" s="94">
        <v>2010</v>
      </c>
      <c r="D6" s="85">
        <v>0</v>
      </c>
      <c r="E6" s="86">
        <v>0</v>
      </c>
    </row>
    <row r="7" spans="1:5" ht="21" customHeight="1">
      <c r="A7" s="95"/>
      <c r="B7" s="96"/>
      <c r="C7" s="96"/>
      <c r="D7" s="105">
        <f>SUBTOTAL(9,D6:D6)</f>
        <v>0</v>
      </c>
      <c r="E7" s="118">
        <f>SUBTOTAL(9,E6:E6)</f>
        <v>0</v>
      </c>
    </row>
    <row r="8" spans="1:5">
      <c r="A8" s="99" t="s">
        <v>14</v>
      </c>
      <c r="B8" s="93" t="s">
        <v>58</v>
      </c>
      <c r="C8" s="94">
        <v>2010</v>
      </c>
      <c r="D8" s="85">
        <v>65290.97</v>
      </c>
      <c r="E8" s="86">
        <v>301400</v>
      </c>
    </row>
    <row r="9" spans="1:5">
      <c r="A9" s="100"/>
      <c r="B9" s="93" t="s">
        <v>86</v>
      </c>
      <c r="C9" s="94">
        <v>2010</v>
      </c>
      <c r="D9" s="85">
        <v>10084840.359999999</v>
      </c>
      <c r="E9" s="86">
        <v>11793090</v>
      </c>
    </row>
    <row r="10" spans="1:5" ht="21" customHeight="1">
      <c r="A10" s="95"/>
      <c r="B10" s="96"/>
      <c r="C10" s="96"/>
      <c r="D10" s="105">
        <f>SUBTOTAL(9,D8:D9)</f>
        <v>10150131.33</v>
      </c>
      <c r="E10" s="105">
        <f>SUBTOTAL(9,E8:E9)</f>
        <v>12094490</v>
      </c>
    </row>
    <row r="11" spans="1:5">
      <c r="A11" s="92" t="s">
        <v>16</v>
      </c>
      <c r="B11" s="93" t="s">
        <v>59</v>
      </c>
      <c r="C11" s="94">
        <v>2010</v>
      </c>
      <c r="D11" s="85">
        <v>1556126</v>
      </c>
      <c r="E11" s="86">
        <v>2295355</v>
      </c>
    </row>
    <row r="12" spans="1:5" ht="21" customHeight="1">
      <c r="A12" s="95"/>
      <c r="B12" s="96"/>
      <c r="C12" s="96"/>
      <c r="D12" s="105">
        <f>SUBTOTAL(9,D11:D11)</f>
        <v>1556126</v>
      </c>
      <c r="E12" s="118">
        <f>SUBTOTAL(9,E11:E11)</f>
        <v>2295355</v>
      </c>
    </row>
    <row r="13" spans="1:5">
      <c r="A13" s="92" t="s">
        <v>12</v>
      </c>
      <c r="B13" s="93" t="s">
        <v>60</v>
      </c>
      <c r="C13" s="94">
        <v>2010</v>
      </c>
      <c r="D13" s="85">
        <v>150250.53</v>
      </c>
      <c r="E13" s="86">
        <v>280881</v>
      </c>
    </row>
    <row r="14" spans="1:5" ht="21" customHeight="1">
      <c r="A14" s="95"/>
      <c r="B14" s="96"/>
      <c r="C14" s="96"/>
      <c r="D14" s="105">
        <f>SUBTOTAL(9,D13:D13)</f>
        <v>150250.53</v>
      </c>
      <c r="E14" s="118">
        <f>SUBTOTAL(9,E13:E13)</f>
        <v>280881</v>
      </c>
    </row>
    <row r="15" spans="1:5">
      <c r="A15" s="92" t="s">
        <v>15</v>
      </c>
      <c r="B15" s="93" t="s">
        <v>61</v>
      </c>
      <c r="C15" s="94">
        <v>2010</v>
      </c>
      <c r="D15" s="85">
        <v>0</v>
      </c>
      <c r="E15" s="86">
        <v>0</v>
      </c>
    </row>
    <row r="16" spans="1:5" ht="21" customHeight="1">
      <c r="A16" s="95"/>
      <c r="B16" s="96"/>
      <c r="C16" s="96"/>
      <c r="D16" s="105">
        <f>SUBTOTAL(9,D15:D15)</f>
        <v>0</v>
      </c>
      <c r="E16" s="118">
        <f>SUBTOTAL(9,E15:E15)</f>
        <v>0</v>
      </c>
    </row>
    <row r="17" spans="1:5">
      <c r="A17" s="92" t="s">
        <v>13</v>
      </c>
      <c r="B17" s="93" t="s">
        <v>62</v>
      </c>
      <c r="C17" s="94">
        <v>2010</v>
      </c>
      <c r="D17" s="85">
        <v>53786.52</v>
      </c>
      <c r="E17" s="86">
        <v>15400</v>
      </c>
    </row>
    <row r="18" spans="1:5" ht="21" customHeight="1">
      <c r="A18" s="95"/>
      <c r="B18" s="96"/>
      <c r="C18" s="96"/>
      <c r="D18" s="105">
        <f>SUBTOTAL(9,D17:D17)</f>
        <v>53786.52</v>
      </c>
      <c r="E18" s="118">
        <f>SUBTOTAL(9,E17:E17)</f>
        <v>15400</v>
      </c>
    </row>
    <row r="19" spans="1:5">
      <c r="A19" s="92" t="s">
        <v>6</v>
      </c>
      <c r="B19" s="93" t="s">
        <v>63</v>
      </c>
      <c r="C19" s="94">
        <v>2010</v>
      </c>
      <c r="D19" s="85">
        <v>21543.83</v>
      </c>
      <c r="E19" s="86">
        <v>10000</v>
      </c>
    </row>
    <row r="20" spans="1:5" ht="21" customHeight="1">
      <c r="A20" s="95"/>
      <c r="B20" s="96"/>
      <c r="C20" s="96"/>
      <c r="D20" s="101">
        <f>SUBTOTAL(9,D19:D19)</f>
        <v>21543.83</v>
      </c>
      <c r="E20" s="119">
        <f>SUBTOTAL(9,E19:E19)</f>
        <v>10000</v>
      </c>
    </row>
    <row r="21" spans="1:5" ht="21" customHeight="1">
      <c r="A21" s="124"/>
      <c r="B21" s="120"/>
      <c r="C21" s="120"/>
      <c r="D21" s="121">
        <f>SUBTOTAL(9,D2:D20)</f>
        <v>16237001.769999998</v>
      </c>
      <c r="E21" s="122">
        <f>SUBTOTAL(9,E2:E20)</f>
        <v>19035975</v>
      </c>
    </row>
    <row r="22" spans="1:5">
      <c r="A22" s="102"/>
      <c r="B22" s="102"/>
      <c r="C22" s="102"/>
      <c r="D22" s="102"/>
      <c r="E22" s="10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6" sqref="E6"/>
    </sheetView>
  </sheetViews>
  <sheetFormatPr defaultColWidth="12.625" defaultRowHeight="12.75"/>
  <cols>
    <col min="1" max="1" width="17.5" style="37" bestFit="1" customWidth="1"/>
    <col min="2" max="2" width="23.375" style="37" bestFit="1" customWidth="1"/>
    <col min="3" max="4" width="13.5" style="37" bestFit="1" customWidth="1"/>
    <col min="5" max="5" width="12.5" style="37" bestFit="1" customWidth="1"/>
    <col min="6" max="16384" width="12.625" style="37"/>
  </cols>
  <sheetData>
    <row r="1" spans="1:6" ht="13.5" customHeight="1">
      <c r="A1" s="47" t="s">
        <v>67</v>
      </c>
      <c r="B1" s="47" t="s">
        <v>39</v>
      </c>
      <c r="C1" s="48" t="s">
        <v>68</v>
      </c>
      <c r="D1" s="48" t="s">
        <v>69</v>
      </c>
      <c r="E1" s="49" t="s">
        <v>70</v>
      </c>
      <c r="F1" s="36"/>
    </row>
    <row r="2" spans="1:6" ht="15" customHeight="1">
      <c r="A2" s="38">
        <v>80</v>
      </c>
      <c r="B2" s="39" t="s">
        <v>7</v>
      </c>
      <c r="C2" s="85">
        <v>44035</v>
      </c>
      <c r="D2" s="85">
        <v>46288</v>
      </c>
      <c r="E2" s="86">
        <v>1783.36</v>
      </c>
      <c r="F2" s="36"/>
    </row>
    <row r="3" spans="1:6" ht="15" customHeight="1">
      <c r="A3" s="38">
        <v>41</v>
      </c>
      <c r="B3" s="39" t="s">
        <v>35</v>
      </c>
      <c r="C3" s="85">
        <v>0</v>
      </c>
      <c r="D3" s="85">
        <v>0</v>
      </c>
      <c r="E3" s="86">
        <v>0</v>
      </c>
      <c r="F3" s="36"/>
    </row>
    <row r="4" spans="1:6" ht="15" customHeight="1">
      <c r="A4" s="38">
        <v>68</v>
      </c>
      <c r="B4" s="39" t="s">
        <v>71</v>
      </c>
      <c r="C4" s="85">
        <v>19347332</v>
      </c>
      <c r="D4" s="85">
        <v>24918727</v>
      </c>
      <c r="E4" s="86">
        <v>12130895.800000001</v>
      </c>
      <c r="F4" s="36"/>
    </row>
    <row r="5" spans="1:6" ht="15" customHeight="1">
      <c r="A5" s="40">
        <v>88</v>
      </c>
      <c r="B5" s="41" t="s">
        <v>8</v>
      </c>
      <c r="C5" s="85">
        <v>0</v>
      </c>
      <c r="D5" s="85">
        <v>0</v>
      </c>
      <c r="E5" s="86">
        <v>0</v>
      </c>
      <c r="F5" s="36"/>
    </row>
    <row r="6" spans="1:6" ht="12.75" customHeight="1">
      <c r="A6" s="42"/>
      <c r="B6" s="36"/>
      <c r="C6" s="43">
        <f>SUBTOTAL(9,C2:C5)</f>
        <v>19391367</v>
      </c>
      <c r="D6" s="43">
        <f>SUBTOTAL(9,D2:D5)</f>
        <v>24965015</v>
      </c>
      <c r="E6" s="87">
        <f>SUBTOTAL(9,E2:E5)</f>
        <v>12132679.16</v>
      </c>
      <c r="F6" s="36"/>
    </row>
    <row r="7" spans="1:6" ht="14.25" customHeight="1">
      <c r="A7" s="44"/>
      <c r="B7" s="45"/>
      <c r="C7" s="45"/>
      <c r="D7" s="45"/>
      <c r="E7" s="46"/>
      <c r="F7" s="36"/>
    </row>
    <row r="8" spans="1:6" ht="242.25" customHeight="1">
      <c r="A8" s="36"/>
      <c r="B8" s="36"/>
      <c r="C8" s="36"/>
      <c r="D8" s="36"/>
      <c r="E8" s="36"/>
      <c r="F8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7"/>
  <sheetViews>
    <sheetView zoomScale="90" zoomScaleNormal="90" workbookViewId="0">
      <selection activeCell="B10" sqref="B10"/>
    </sheetView>
  </sheetViews>
  <sheetFormatPr defaultRowHeight="12.75"/>
  <cols>
    <col min="1" max="1" width="5.5" style="2" bestFit="1" customWidth="1"/>
    <col min="2" max="2" width="16.5" style="2" customWidth="1"/>
    <col min="3" max="3" width="16.625" style="2" customWidth="1"/>
    <col min="4" max="4" width="19.125" style="2" customWidth="1"/>
    <col min="5" max="5" width="8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5" style="2" customWidth="1"/>
    <col min="12" max="12" width="12.875" style="2" customWidth="1"/>
    <col min="13" max="13" width="11.75" style="2" customWidth="1"/>
    <col min="14" max="14" width="12.5" style="2" bestFit="1" customWidth="1"/>
    <col min="15" max="15" width="11.375" style="2" customWidth="1"/>
    <col min="16" max="17" width="11.5" style="2" customWidth="1"/>
    <col min="18" max="18" width="11.125" style="2" bestFit="1" customWidth="1"/>
    <col min="19" max="19" width="13.25" style="2" bestFit="1" customWidth="1"/>
    <col min="20" max="20" width="12.75" style="2" customWidth="1"/>
    <col min="21" max="21" width="12.5" style="2" bestFit="1" customWidth="1"/>
    <col min="22" max="22" width="11.25" style="2" customWidth="1"/>
    <col min="23" max="23" width="12.5" style="2" bestFit="1" customWidth="1"/>
    <col min="24" max="24" width="11.125" style="2" bestFit="1" customWidth="1"/>
    <col min="25" max="25" width="15.875" style="2" customWidth="1"/>
    <col min="26" max="26" width="12.5" style="2" customWidth="1"/>
    <col min="27" max="27" width="13.625" style="2" customWidth="1"/>
    <col min="28" max="28" width="11.875" style="2" customWidth="1"/>
    <col min="29" max="29" width="12.5" style="2" bestFit="1" customWidth="1"/>
    <col min="30" max="30" width="11.5" style="2" customWidth="1"/>
    <col min="31" max="31" width="13.75" style="2" customWidth="1"/>
    <col min="32" max="32" width="11.875" style="2" customWidth="1"/>
    <col min="33" max="33" width="14" style="2" customWidth="1"/>
    <col min="34" max="16384" width="9" style="2"/>
  </cols>
  <sheetData>
    <row r="1" spans="1:32" ht="15.95" customHeight="1">
      <c r="E1" s="3"/>
      <c r="F1" s="161" t="s">
        <v>17</v>
      </c>
    </row>
    <row r="2" spans="1:32" ht="15.95" customHeight="1">
      <c r="E2" s="3"/>
      <c r="F2" s="161" t="s">
        <v>36</v>
      </c>
    </row>
    <row r="3" spans="1:32" ht="15.95" customHeight="1">
      <c r="B3" s="175" t="s">
        <v>30</v>
      </c>
      <c r="C3" s="175"/>
      <c r="D3" s="175"/>
      <c r="E3" s="3"/>
      <c r="F3" s="161" t="s">
        <v>37</v>
      </c>
    </row>
    <row r="4" spans="1:32" ht="15.95" customHeight="1">
      <c r="E4" s="3"/>
      <c r="F4" s="161" t="s">
        <v>38</v>
      </c>
    </row>
    <row r="5" spans="1:32" ht="15.95" customHeight="1">
      <c r="E5" s="3"/>
      <c r="F5" s="161" t="s">
        <v>18</v>
      </c>
    </row>
    <row r="6" spans="1:32" ht="15.75">
      <c r="A6" s="4"/>
      <c r="B6" s="4"/>
      <c r="C6" s="4"/>
      <c r="D6" s="5"/>
      <c r="E6" s="5"/>
      <c r="F6" s="4"/>
    </row>
    <row r="7" spans="1:32" ht="15.75">
      <c r="A7" s="147"/>
      <c r="B7" s="147"/>
      <c r="C7" s="147"/>
      <c r="D7" s="148"/>
      <c r="E7" s="148"/>
      <c r="F7" s="147"/>
    </row>
    <row r="8" spans="1:32" ht="19.5" customHeight="1">
      <c r="A8" s="149" t="s">
        <v>195</v>
      </c>
      <c r="B8" s="147" t="s">
        <v>26</v>
      </c>
      <c r="C8" s="147"/>
      <c r="D8" s="147"/>
      <c r="E8" s="147"/>
      <c r="F8" s="147"/>
    </row>
    <row r="9" spans="1:32" ht="19.5" customHeight="1">
      <c r="A9" s="149" t="s">
        <v>196</v>
      </c>
      <c r="B9" s="147" t="s">
        <v>64</v>
      </c>
      <c r="C9" s="147"/>
      <c r="D9" s="147"/>
      <c r="E9" s="147"/>
      <c r="F9" s="147"/>
    </row>
    <row r="10" spans="1:32" ht="19.5" customHeight="1">
      <c r="A10" s="149" t="s">
        <v>197</v>
      </c>
      <c r="B10" s="150">
        <v>41470</v>
      </c>
      <c r="C10" s="147"/>
      <c r="D10" s="147"/>
      <c r="E10" s="147"/>
      <c r="F10" s="147"/>
    </row>
    <row r="11" spans="1:32" ht="19.5" customHeight="1">
      <c r="A11" s="149" t="s">
        <v>198</v>
      </c>
      <c r="B11" s="147" t="s">
        <v>206</v>
      </c>
      <c r="C11" s="147"/>
      <c r="D11" s="147"/>
      <c r="E11" s="147"/>
      <c r="F11" s="147"/>
    </row>
    <row r="12" spans="1:32" ht="19.5" customHeight="1">
      <c r="A12" s="149"/>
      <c r="B12" s="147"/>
      <c r="C12" s="147"/>
      <c r="D12" s="147"/>
      <c r="E12" s="147"/>
      <c r="F12" s="147"/>
    </row>
    <row r="13" spans="1:32" ht="6.75" customHeight="1">
      <c r="A13" s="176"/>
      <c r="B13" s="176"/>
      <c r="C13" s="176"/>
      <c r="D13" s="176"/>
      <c r="E13" s="176"/>
      <c r="F13" s="176"/>
    </row>
    <row r="14" spans="1:32" ht="19.5" customHeight="1">
      <c r="A14" s="174" t="s">
        <v>87</v>
      </c>
      <c r="B14" s="174"/>
      <c r="C14" s="174"/>
      <c r="D14" s="174"/>
      <c r="E14" s="174"/>
      <c r="F14" s="174"/>
    </row>
    <row r="15" spans="1:32" ht="4.5" customHeight="1">
      <c r="A15" s="147"/>
      <c r="B15" s="147"/>
      <c r="C15" s="147"/>
      <c r="D15" s="147"/>
      <c r="E15" s="147"/>
      <c r="F15" s="147"/>
      <c r="N15" s="64"/>
      <c r="O15" s="64"/>
      <c r="P15" s="64"/>
      <c r="Q15" s="64"/>
    </row>
    <row r="16" spans="1:32" ht="39">
      <c r="A16" s="177"/>
      <c r="B16" s="177"/>
      <c r="C16" s="145" t="s">
        <v>189</v>
      </c>
      <c r="D16" s="145" t="s">
        <v>207</v>
      </c>
      <c r="E16" s="145" t="s">
        <v>19</v>
      </c>
      <c r="F16" s="145" t="s">
        <v>208</v>
      </c>
      <c r="G16" s="10">
        <v>0.75</v>
      </c>
      <c r="H16" s="27"/>
      <c r="I16" s="10">
        <v>0.75</v>
      </c>
      <c r="K16" s="9" t="s">
        <v>189</v>
      </c>
      <c r="L16" s="9" t="s">
        <v>209</v>
      </c>
      <c r="M16" s="9">
        <v>2013</v>
      </c>
      <c r="N16" s="9" t="s">
        <v>152</v>
      </c>
      <c r="O16" s="9" t="s">
        <v>173</v>
      </c>
      <c r="P16" s="9">
        <v>2012</v>
      </c>
      <c r="Q16" s="9" t="s">
        <v>110</v>
      </c>
      <c r="R16" s="9" t="s">
        <v>178</v>
      </c>
      <c r="S16" s="9" t="s">
        <v>150</v>
      </c>
      <c r="T16" s="9">
        <v>2011</v>
      </c>
      <c r="U16" s="9" t="s">
        <v>65</v>
      </c>
      <c r="V16" s="9" t="s">
        <v>132</v>
      </c>
      <c r="W16" s="9" t="s">
        <v>149</v>
      </c>
      <c r="X16" s="9">
        <v>2010</v>
      </c>
      <c r="Y16" s="9" t="s">
        <v>1</v>
      </c>
      <c r="Z16" s="9" t="s">
        <v>174</v>
      </c>
      <c r="AA16" s="9" t="s">
        <v>76</v>
      </c>
      <c r="AB16" s="9">
        <v>2009</v>
      </c>
      <c r="AC16" s="9"/>
      <c r="AD16" s="9"/>
      <c r="AE16" s="9"/>
      <c r="AF16" s="9"/>
    </row>
    <row r="17" spans="1:32" ht="15.75" customHeight="1">
      <c r="A17" s="172" t="s">
        <v>20</v>
      </c>
      <c r="B17" s="172"/>
      <c r="C17" s="151">
        <f>K17</f>
        <v>2231084</v>
      </c>
      <c r="D17" s="151">
        <f>L17</f>
        <v>2239575</v>
      </c>
      <c r="E17" s="162">
        <f t="shared" ref="E17:E23" si="0">(D17/C17)</f>
        <v>1.0038057733370864</v>
      </c>
      <c r="F17" s="152">
        <f t="shared" ref="F17:F22" si="1">D17-G17</f>
        <v>566262</v>
      </c>
      <c r="G17" s="14">
        <f>C17*0.75</f>
        <v>1673313</v>
      </c>
      <c r="H17" s="15">
        <v>0</v>
      </c>
      <c r="I17" s="10">
        <v>0.75</v>
      </c>
      <c r="J17" s="21" t="str">
        <f t="shared" ref="J17:J22" si="2">A17</f>
        <v>Current / Delinquent Taxes</v>
      </c>
      <c r="K17" s="129">
        <v>2231084</v>
      </c>
      <c r="L17" s="129">
        <v>2239575</v>
      </c>
      <c r="M17" s="141">
        <f>L17/K17</f>
        <v>1.0038057733370864</v>
      </c>
      <c r="N17" s="129">
        <v>2160925</v>
      </c>
      <c r="O17" s="129">
        <v>2175221</v>
      </c>
      <c r="P17" s="141">
        <v>1.006615685412497</v>
      </c>
      <c r="Q17" s="129">
        <v>0</v>
      </c>
      <c r="R17" s="129">
        <v>0</v>
      </c>
      <c r="S17" s="11"/>
      <c r="T17" s="140">
        <v>0</v>
      </c>
      <c r="U17" s="11">
        <v>4337995</v>
      </c>
      <c r="V17" s="11">
        <v>4303975.5599999996</v>
      </c>
      <c r="W17" s="11"/>
      <c r="X17" s="12">
        <v>0.99172160299435252</v>
      </c>
      <c r="Y17" s="11">
        <v>4070011</v>
      </c>
      <c r="Z17" s="11">
        <v>4047124.9000000004</v>
      </c>
      <c r="AA17" s="11"/>
      <c r="AB17" s="12">
        <v>0.98815243986499113</v>
      </c>
      <c r="AC17" s="11"/>
      <c r="AD17" s="11"/>
      <c r="AE17" s="11"/>
      <c r="AF17" s="12"/>
    </row>
    <row r="18" spans="1:32" ht="15.75" customHeight="1">
      <c r="A18" s="172" t="s">
        <v>66</v>
      </c>
      <c r="B18" s="172"/>
      <c r="C18" s="153">
        <f t="shared" ref="C18:D22" si="3">K18</f>
        <v>0</v>
      </c>
      <c r="D18" s="153">
        <f t="shared" si="3"/>
        <v>2817</v>
      </c>
      <c r="E18" s="162">
        <v>1</v>
      </c>
      <c r="F18" s="153">
        <f>D18-G18</f>
        <v>2817</v>
      </c>
      <c r="G18" s="14">
        <f t="shared" ref="G18:G23" si="4">C18*0.75</f>
        <v>0</v>
      </c>
      <c r="H18" s="27">
        <v>0</v>
      </c>
      <c r="I18" s="10">
        <v>0.75</v>
      </c>
      <c r="J18" s="21" t="str">
        <f t="shared" si="2"/>
        <v>License / Permits</v>
      </c>
      <c r="K18" s="129">
        <v>0</v>
      </c>
      <c r="L18" s="129">
        <v>2817</v>
      </c>
      <c r="M18" s="141">
        <v>1</v>
      </c>
      <c r="N18" s="129">
        <v>1300</v>
      </c>
      <c r="O18" s="129">
        <v>954</v>
      </c>
      <c r="P18" s="141">
        <v>0.73384615384615381</v>
      </c>
      <c r="Q18" s="129">
        <v>2000</v>
      </c>
      <c r="R18" s="129">
        <v>1134</v>
      </c>
      <c r="S18" s="28"/>
      <c r="T18" s="141">
        <v>0.79245283018867929</v>
      </c>
      <c r="U18" s="16">
        <v>1854</v>
      </c>
      <c r="V18" s="28">
        <v>1188</v>
      </c>
      <c r="W18" s="28"/>
      <c r="X18" s="12">
        <v>0.71739130434782605</v>
      </c>
      <c r="Y18" s="28">
        <v>3000</v>
      </c>
      <c r="Z18" s="28">
        <v>1188</v>
      </c>
      <c r="AA18" s="28"/>
      <c r="AB18" s="12">
        <v>0.80487804878048785</v>
      </c>
      <c r="AC18" s="28"/>
      <c r="AD18" s="28"/>
      <c r="AE18" s="28"/>
      <c r="AF18" s="12"/>
    </row>
    <row r="19" spans="1:32" ht="24.75" customHeight="1">
      <c r="A19" s="172" t="s">
        <v>2</v>
      </c>
      <c r="B19" s="172"/>
      <c r="C19" s="153">
        <f t="shared" si="3"/>
        <v>15007621</v>
      </c>
      <c r="D19" s="153">
        <f t="shared" si="3"/>
        <v>7642815</v>
      </c>
      <c r="E19" s="162">
        <f t="shared" si="0"/>
        <v>0.50926226082068571</v>
      </c>
      <c r="F19" s="153">
        <f t="shared" si="1"/>
        <v>-3612900.75</v>
      </c>
      <c r="G19" s="14">
        <f t="shared" si="4"/>
        <v>11255715.75</v>
      </c>
      <c r="H19" s="27">
        <f t="shared" ref="H19:H21" si="5">C19-D19</f>
        <v>7364806</v>
      </c>
      <c r="I19" s="10">
        <v>0.75</v>
      </c>
      <c r="J19" s="21" t="str">
        <f t="shared" si="2"/>
        <v>Fees/Charges for Services</v>
      </c>
      <c r="K19" s="129">
        <v>15007621</v>
      </c>
      <c r="L19" s="129">
        <v>7642815</v>
      </c>
      <c r="M19" s="141">
        <f t="shared" ref="M19:M23" si="6">L19/K19</f>
        <v>0.50926226082068571</v>
      </c>
      <c r="N19" s="129">
        <v>13214500</v>
      </c>
      <c r="O19" s="129">
        <v>11792112</v>
      </c>
      <c r="P19" s="141">
        <v>0.89236157251504034</v>
      </c>
      <c r="Q19" s="129">
        <v>13169000</v>
      </c>
      <c r="R19" s="129">
        <v>10932395</v>
      </c>
      <c r="S19" s="28"/>
      <c r="T19" s="141">
        <v>0.83252497865456276</v>
      </c>
      <c r="U19" s="16">
        <v>12094490</v>
      </c>
      <c r="V19" s="28">
        <v>10150131.33</v>
      </c>
      <c r="W19" s="28"/>
      <c r="X19" s="12">
        <v>0.82839814356337671</v>
      </c>
      <c r="Y19" s="28">
        <v>11806400</v>
      </c>
      <c r="Z19" s="28">
        <v>8940053.8600000013</v>
      </c>
      <c r="AA19" s="28"/>
      <c r="AB19" s="12">
        <v>0.67534116774376485</v>
      </c>
      <c r="AC19" s="28"/>
      <c r="AD19" s="28"/>
      <c r="AE19" s="28"/>
      <c r="AF19" s="12"/>
    </row>
    <row r="20" spans="1:32" ht="15.75" customHeight="1">
      <c r="A20" s="172" t="s">
        <v>4</v>
      </c>
      <c r="B20" s="172"/>
      <c r="C20" s="153">
        <f t="shared" si="3"/>
        <v>1707212</v>
      </c>
      <c r="D20" s="153">
        <f t="shared" si="3"/>
        <v>1455955</v>
      </c>
      <c r="E20" s="162">
        <f t="shared" si="0"/>
        <v>0.85282612821371917</v>
      </c>
      <c r="F20" s="153">
        <f t="shared" si="1"/>
        <v>175546</v>
      </c>
      <c r="G20" s="14">
        <f t="shared" si="4"/>
        <v>1280409</v>
      </c>
      <c r="H20" s="27">
        <f t="shared" si="5"/>
        <v>251257</v>
      </c>
      <c r="I20" s="10">
        <v>0.75</v>
      </c>
      <c r="J20" s="21" t="str">
        <f t="shared" si="2"/>
        <v>Fines</v>
      </c>
      <c r="K20" s="129">
        <v>1707212</v>
      </c>
      <c r="L20" s="129">
        <v>1455955</v>
      </c>
      <c r="M20" s="141">
        <f t="shared" si="6"/>
        <v>0.85282612821371917</v>
      </c>
      <c r="N20" s="129">
        <v>1741500</v>
      </c>
      <c r="O20" s="129">
        <v>1380230</v>
      </c>
      <c r="P20" s="141">
        <v>0.79255239735859895</v>
      </c>
      <c r="Q20" s="129">
        <v>2066000</v>
      </c>
      <c r="R20" s="129">
        <v>1251388</v>
      </c>
      <c r="S20" s="28"/>
      <c r="T20" s="141">
        <v>0.68792545661943572</v>
      </c>
      <c r="U20" s="16">
        <v>2295355</v>
      </c>
      <c r="V20" s="28">
        <v>1556126</v>
      </c>
      <c r="W20" s="28"/>
      <c r="X20" s="12">
        <v>0.76837266809630345</v>
      </c>
      <c r="Y20" s="28">
        <v>1904500</v>
      </c>
      <c r="Z20" s="28">
        <v>1617748.17</v>
      </c>
      <c r="AA20" s="28"/>
      <c r="AB20" s="12">
        <v>0.73079946077577229</v>
      </c>
      <c r="AC20" s="28"/>
      <c r="AD20" s="28"/>
      <c r="AE20" s="28"/>
      <c r="AF20" s="12"/>
    </row>
    <row r="21" spans="1:32" ht="15.75" customHeight="1">
      <c r="A21" s="172" t="s">
        <v>3</v>
      </c>
      <c r="B21" s="172"/>
      <c r="C21" s="153">
        <f t="shared" si="3"/>
        <v>140000</v>
      </c>
      <c r="D21" s="153">
        <f t="shared" si="3"/>
        <v>77282</v>
      </c>
      <c r="E21" s="162">
        <f t="shared" si="0"/>
        <v>0.55201428571428568</v>
      </c>
      <c r="F21" s="153">
        <f t="shared" si="1"/>
        <v>-27718</v>
      </c>
      <c r="G21" s="14">
        <f t="shared" si="4"/>
        <v>105000</v>
      </c>
      <c r="H21" s="27">
        <f t="shared" si="5"/>
        <v>62718</v>
      </c>
      <c r="I21" s="10">
        <v>0.75</v>
      </c>
      <c r="J21" s="21" t="str">
        <f t="shared" si="2"/>
        <v>Investment Revenue</v>
      </c>
      <c r="K21" s="129">
        <v>140000</v>
      </c>
      <c r="L21" s="129">
        <v>77282</v>
      </c>
      <c r="M21" s="141">
        <f t="shared" si="6"/>
        <v>0.55201428571428568</v>
      </c>
      <c r="N21" s="129">
        <v>180000</v>
      </c>
      <c r="O21" s="129">
        <v>96487</v>
      </c>
      <c r="P21" s="141">
        <v>0.53603888888888884</v>
      </c>
      <c r="Q21" s="129">
        <v>120000</v>
      </c>
      <c r="R21" s="129">
        <v>145211</v>
      </c>
      <c r="S21" s="28"/>
      <c r="T21" s="141">
        <v>0.74721616169932492</v>
      </c>
      <c r="U21" s="16">
        <v>280881</v>
      </c>
      <c r="V21" s="28">
        <v>150250.53</v>
      </c>
      <c r="W21" s="28"/>
      <c r="X21" s="12">
        <v>0.67518010730944489</v>
      </c>
      <c r="Y21" s="28">
        <v>305000</v>
      </c>
      <c r="Z21" s="28">
        <v>211417.35999999996</v>
      </c>
      <c r="AA21" s="28"/>
      <c r="AB21" s="12">
        <v>0.74281194336499401</v>
      </c>
      <c r="AC21" s="28"/>
      <c r="AD21" s="28"/>
      <c r="AE21" s="28"/>
      <c r="AF21" s="12"/>
    </row>
    <row r="22" spans="1:32" ht="15.75" customHeight="1" thickBot="1">
      <c r="A22" s="172" t="s">
        <v>203</v>
      </c>
      <c r="B22" s="172"/>
      <c r="C22" s="153">
        <f t="shared" si="3"/>
        <v>5000</v>
      </c>
      <c r="D22" s="153">
        <f t="shared" si="3"/>
        <v>145830</v>
      </c>
      <c r="E22" s="162">
        <f t="shared" si="0"/>
        <v>29.166</v>
      </c>
      <c r="F22" s="153">
        <f t="shared" si="1"/>
        <v>142080</v>
      </c>
      <c r="G22" s="14">
        <f t="shared" si="4"/>
        <v>3750</v>
      </c>
      <c r="H22" s="27">
        <v>0</v>
      </c>
      <c r="I22" s="10">
        <v>0.75</v>
      </c>
      <c r="J22" s="21" t="str">
        <f t="shared" si="2"/>
        <v>Misc./Proceeds F/A Disp</v>
      </c>
      <c r="K22" s="130">
        <v>5000</v>
      </c>
      <c r="L22" s="130">
        <f>13304+90000+42526</f>
        <v>145830</v>
      </c>
      <c r="M22" s="142">
        <f t="shared" si="6"/>
        <v>29.166</v>
      </c>
      <c r="N22" s="130">
        <v>15000</v>
      </c>
      <c r="O22" s="130">
        <v>181688</v>
      </c>
      <c r="P22" s="142">
        <v>12.112533333333333</v>
      </c>
      <c r="Q22" s="130">
        <v>25000</v>
      </c>
      <c r="R22" s="130">
        <v>6390</v>
      </c>
      <c r="S22" s="53"/>
      <c r="T22" s="142">
        <v>0.10959796926454446</v>
      </c>
      <c r="U22" s="52">
        <v>25400</v>
      </c>
      <c r="V22" s="53">
        <v>53786.52</v>
      </c>
      <c r="W22" s="53"/>
      <c r="X22" s="77">
        <v>0.82110556446072813</v>
      </c>
      <c r="Y22" s="53">
        <v>117000</v>
      </c>
      <c r="Z22" s="53">
        <v>33738.479999999996</v>
      </c>
      <c r="AA22" s="53"/>
      <c r="AB22" s="77">
        <v>0.51244504713370209</v>
      </c>
      <c r="AC22" s="53"/>
      <c r="AD22" s="53"/>
      <c r="AE22" s="53"/>
      <c r="AF22" s="77"/>
    </row>
    <row r="23" spans="1:32" ht="15.75" customHeight="1" thickBot="1">
      <c r="A23" s="173" t="s">
        <v>22</v>
      </c>
      <c r="B23" s="173"/>
      <c r="C23" s="151">
        <f>SUM(C17:C22)</f>
        <v>19090917</v>
      </c>
      <c r="D23" s="151">
        <f>SUM(D17:D22)</f>
        <v>11564274</v>
      </c>
      <c r="E23" s="162">
        <f t="shared" si="0"/>
        <v>0.60574743476177706</v>
      </c>
      <c r="F23" s="154">
        <f>SUM(F17:F22)</f>
        <v>-2753913.75</v>
      </c>
      <c r="G23" s="14">
        <f t="shared" si="4"/>
        <v>14318187.75</v>
      </c>
      <c r="H23" s="27"/>
      <c r="J23" s="21"/>
      <c r="K23" s="128">
        <f>SUM(K17:K22)</f>
        <v>19090917</v>
      </c>
      <c r="L23" s="51">
        <f>SUM(L17:L22)</f>
        <v>11564274</v>
      </c>
      <c r="M23" s="143">
        <f t="shared" si="6"/>
        <v>0.60574743476177706</v>
      </c>
      <c r="N23" s="128">
        <v>17313225</v>
      </c>
      <c r="O23" s="51">
        <v>15626692</v>
      </c>
      <c r="P23" s="143">
        <v>0.90258701079665982</v>
      </c>
      <c r="Q23" s="128">
        <v>15382000</v>
      </c>
      <c r="R23" s="51">
        <v>12336518</v>
      </c>
      <c r="S23" s="51"/>
      <c r="T23" s="143">
        <v>0.81135904958171645</v>
      </c>
      <c r="U23" s="51">
        <v>19035975</v>
      </c>
      <c r="V23" s="51">
        <v>16215457.939999999</v>
      </c>
      <c r="W23" s="51"/>
      <c r="X23" s="78">
        <v>0.85761850694289077</v>
      </c>
      <c r="Y23" s="51">
        <v>18205911</v>
      </c>
      <c r="Z23" s="51">
        <v>14851270.770000001</v>
      </c>
      <c r="AA23" s="51"/>
      <c r="AB23" s="78">
        <v>0.74632941747878545</v>
      </c>
      <c r="AC23" s="51"/>
      <c r="AD23" s="51"/>
      <c r="AE23" s="51"/>
      <c r="AF23" s="78"/>
    </row>
    <row r="24" spans="1:32" ht="22.5" customHeight="1" thickTop="1">
      <c r="A24" s="147"/>
      <c r="B24" s="147"/>
      <c r="C24" s="147"/>
      <c r="D24" s="147"/>
      <c r="E24" s="147"/>
      <c r="F24" s="147"/>
      <c r="J24" s="21"/>
      <c r="K24" s="21"/>
      <c r="L24" s="21"/>
      <c r="M24" s="21"/>
      <c r="N24" s="26"/>
    </row>
    <row r="25" spans="1:32" ht="15.75">
      <c r="A25" s="147"/>
      <c r="B25" s="147"/>
      <c r="C25" s="147"/>
      <c r="D25" s="147"/>
      <c r="E25" s="147"/>
      <c r="F25" s="147"/>
      <c r="J25" s="21"/>
      <c r="K25" s="21"/>
      <c r="L25" s="21"/>
      <c r="M25" s="21"/>
      <c r="N25" s="26"/>
      <c r="O25" s="15"/>
    </row>
    <row r="26" spans="1:32" ht="15.75">
      <c r="A26" s="147"/>
      <c r="B26" s="147"/>
      <c r="C26" s="147"/>
      <c r="D26" s="147"/>
      <c r="E26" s="147"/>
      <c r="F26" s="147"/>
    </row>
    <row r="27" spans="1:32" ht="15.75">
      <c r="A27" s="147"/>
      <c r="B27" s="147"/>
      <c r="C27" s="147"/>
      <c r="D27" s="147"/>
      <c r="E27" s="147"/>
      <c r="F27" s="147"/>
    </row>
    <row r="28" spans="1:32" ht="15.75">
      <c r="A28" s="147"/>
      <c r="B28" s="147"/>
      <c r="C28" s="147"/>
      <c r="D28" s="147"/>
      <c r="E28" s="147"/>
      <c r="F28" s="147"/>
    </row>
    <row r="29" spans="1:32" ht="15.75">
      <c r="A29" s="147"/>
      <c r="B29" s="147"/>
      <c r="C29" s="147"/>
      <c r="D29" s="147"/>
      <c r="E29" s="147"/>
      <c r="F29" s="147"/>
    </row>
    <row r="30" spans="1:32" ht="15.75">
      <c r="A30" s="147"/>
      <c r="B30" s="147"/>
      <c r="C30" s="147"/>
      <c r="D30" s="147"/>
      <c r="E30" s="147"/>
      <c r="F30" s="147"/>
    </row>
    <row r="31" spans="1:32" ht="15.75">
      <c r="A31" s="147"/>
      <c r="B31" s="147"/>
      <c r="C31" s="147"/>
      <c r="D31" s="147"/>
      <c r="E31" s="147"/>
      <c r="F31" s="147"/>
    </row>
    <row r="32" spans="1:32" ht="15.75">
      <c r="A32" s="147"/>
      <c r="B32" s="147"/>
      <c r="C32" s="147"/>
      <c r="D32" s="147"/>
      <c r="E32" s="147"/>
      <c r="F32" s="147"/>
    </row>
    <row r="33" spans="1:37" ht="15.75">
      <c r="A33" s="147"/>
      <c r="B33" s="147"/>
      <c r="C33" s="147"/>
      <c r="D33" s="147"/>
      <c r="E33" s="147"/>
      <c r="F33" s="147"/>
    </row>
    <row r="34" spans="1:37" ht="15.75">
      <c r="A34" s="147"/>
      <c r="B34" s="147"/>
      <c r="C34" s="147"/>
      <c r="D34" s="147"/>
      <c r="E34" s="147"/>
      <c r="F34" s="147"/>
    </row>
    <row r="35" spans="1:37" ht="15.75">
      <c r="A35" s="147"/>
      <c r="B35" s="147"/>
      <c r="C35" s="147"/>
      <c r="D35" s="147"/>
      <c r="E35" s="147"/>
      <c r="F35" s="147"/>
    </row>
    <row r="36" spans="1:37" ht="15.75">
      <c r="A36" s="147"/>
      <c r="B36" s="147"/>
      <c r="C36" s="147"/>
      <c r="D36" s="147"/>
      <c r="E36" s="147"/>
      <c r="F36" s="147"/>
    </row>
    <row r="37" spans="1:37" ht="15.75">
      <c r="A37" s="147"/>
      <c r="B37" s="147"/>
      <c r="C37" s="147"/>
      <c r="D37" s="147"/>
      <c r="E37" s="147"/>
      <c r="F37" s="147"/>
    </row>
    <row r="38" spans="1:37" ht="15.75">
      <c r="A38" s="147"/>
      <c r="B38" s="147"/>
      <c r="C38" s="147"/>
      <c r="D38" s="147"/>
      <c r="E38" s="147"/>
      <c r="F38" s="147"/>
    </row>
    <row r="39" spans="1:37" ht="15.75">
      <c r="A39" s="147"/>
      <c r="B39" s="147"/>
      <c r="C39" s="147"/>
      <c r="D39" s="147"/>
      <c r="E39" s="147"/>
      <c r="F39" s="147"/>
      <c r="J39" s="65"/>
      <c r="K39" s="65"/>
      <c r="L39" s="65"/>
      <c r="M39" s="65"/>
      <c r="N39" s="65"/>
    </row>
    <row r="40" spans="1:37" ht="15.75">
      <c r="A40" s="147"/>
      <c r="B40" s="147"/>
      <c r="C40" s="147"/>
      <c r="D40" s="147"/>
      <c r="E40" s="147"/>
      <c r="F40" s="147"/>
      <c r="J40" s="65"/>
      <c r="K40" s="65"/>
      <c r="L40" s="65"/>
      <c r="M40" s="65"/>
      <c r="N40" s="65"/>
    </row>
    <row r="41" spans="1:37" ht="15.75">
      <c r="A41" s="147"/>
      <c r="B41" s="147"/>
      <c r="C41" s="147"/>
      <c r="D41" s="147"/>
      <c r="E41" s="147"/>
      <c r="F41" s="147"/>
      <c r="J41" s="65"/>
      <c r="K41" s="65"/>
      <c r="L41" s="65"/>
      <c r="M41" s="65"/>
      <c r="N41" s="65"/>
    </row>
    <row r="42" spans="1:37" ht="15.75">
      <c r="A42" s="147"/>
      <c r="B42" s="147"/>
      <c r="C42" s="147"/>
      <c r="D42" s="147"/>
      <c r="E42" s="147"/>
      <c r="F42" s="147"/>
      <c r="J42" s="65"/>
      <c r="K42" s="65"/>
      <c r="L42" s="65"/>
      <c r="M42" s="65"/>
      <c r="N42" s="65"/>
    </row>
    <row r="43" spans="1:37" ht="15.75">
      <c r="A43" s="147"/>
      <c r="B43" s="147"/>
      <c r="C43" s="147"/>
      <c r="D43" s="147"/>
      <c r="E43" s="147"/>
      <c r="F43" s="147"/>
      <c r="J43" s="65"/>
      <c r="K43" s="65"/>
      <c r="L43" s="65"/>
      <c r="M43" s="65"/>
      <c r="N43" s="65"/>
    </row>
    <row r="44" spans="1:37" ht="15.75">
      <c r="A44" s="147"/>
      <c r="B44" s="147"/>
      <c r="C44" s="147"/>
      <c r="D44" s="147"/>
      <c r="E44" s="147"/>
      <c r="F44" s="147"/>
      <c r="J44" s="65"/>
      <c r="K44" s="65"/>
      <c r="L44" s="65"/>
      <c r="M44" s="65"/>
      <c r="N44" s="65"/>
    </row>
    <row r="45" spans="1:37" ht="33" customHeight="1">
      <c r="A45" s="174" t="s">
        <v>88</v>
      </c>
      <c r="B45" s="174"/>
      <c r="C45" s="174"/>
      <c r="D45" s="174"/>
      <c r="E45" s="174"/>
      <c r="F45" s="174"/>
      <c r="J45" s="65"/>
      <c r="K45" s="65"/>
      <c r="L45" s="65"/>
      <c r="M45" s="65"/>
      <c r="N45" s="65"/>
    </row>
    <row r="46" spans="1:37" ht="12" customHeight="1">
      <c r="A46" s="147"/>
      <c r="B46" s="146"/>
      <c r="C46" s="146"/>
      <c r="D46" s="146"/>
      <c r="E46" s="146"/>
      <c r="F46" s="147"/>
      <c r="J46" s="65"/>
      <c r="K46" s="65"/>
      <c r="L46" s="65"/>
      <c r="M46" s="65"/>
      <c r="N46" s="65"/>
    </row>
    <row r="47" spans="1:37" ht="36" customHeight="1">
      <c r="A47" s="167"/>
      <c r="B47" s="167"/>
      <c r="C47" s="165" t="s">
        <v>189</v>
      </c>
      <c r="D47" s="145" t="s">
        <v>211</v>
      </c>
      <c r="E47" s="165" t="s">
        <v>19</v>
      </c>
      <c r="F47" s="145" t="s">
        <v>208</v>
      </c>
      <c r="G47" s="10">
        <v>0.75</v>
      </c>
      <c r="H47" s="2" t="s">
        <v>32</v>
      </c>
      <c r="K47" s="79" t="s">
        <v>189</v>
      </c>
      <c r="L47" s="75" t="s">
        <v>210</v>
      </c>
      <c r="M47" s="76">
        <v>2013</v>
      </c>
      <c r="N47" s="79" t="s">
        <v>154</v>
      </c>
      <c r="O47" s="75" t="s">
        <v>175</v>
      </c>
      <c r="P47" s="76">
        <v>2012</v>
      </c>
      <c r="Q47" s="75" t="s">
        <v>156</v>
      </c>
      <c r="R47" s="79" t="s">
        <v>113</v>
      </c>
      <c r="S47" s="75" t="s">
        <v>176</v>
      </c>
      <c r="T47" s="76">
        <v>2011</v>
      </c>
      <c r="U47" s="75" t="s">
        <v>115</v>
      </c>
      <c r="V47" s="79" t="s">
        <v>65</v>
      </c>
      <c r="W47" s="75" t="s">
        <v>135</v>
      </c>
      <c r="X47" s="76">
        <v>2010</v>
      </c>
      <c r="Y47" s="75" t="s">
        <v>79</v>
      </c>
      <c r="Z47" s="75" t="s">
        <v>1</v>
      </c>
      <c r="AA47" s="75" t="s">
        <v>136</v>
      </c>
      <c r="AB47" s="76">
        <v>2009</v>
      </c>
      <c r="AC47" s="75" t="s">
        <v>81</v>
      </c>
      <c r="AD47" s="75">
        <v>2009</v>
      </c>
      <c r="AE47" s="75" t="s">
        <v>82</v>
      </c>
      <c r="AF47" s="75"/>
      <c r="AG47" s="75"/>
      <c r="AH47" s="76"/>
      <c r="AI47" s="75"/>
      <c r="AJ47" s="75"/>
      <c r="AK47" s="75"/>
    </row>
    <row r="48" spans="1:37" ht="15.75" customHeight="1">
      <c r="A48" s="168" t="s">
        <v>23</v>
      </c>
      <c r="B48" s="169"/>
      <c r="C48" s="151">
        <f t="shared" ref="C48:D50" si="7">K48</f>
        <v>44035</v>
      </c>
      <c r="D48" s="151">
        <f t="shared" si="7"/>
        <v>53473</v>
      </c>
      <c r="E48" s="162">
        <f>(D48/C48)</f>
        <v>1.214329510616555</v>
      </c>
      <c r="F48" s="153">
        <f>+G48-D48</f>
        <v>-20446.75</v>
      </c>
      <c r="G48" s="23">
        <f>C48*0.75</f>
        <v>33026.25</v>
      </c>
      <c r="H48" s="24">
        <v>0</v>
      </c>
      <c r="I48" s="1">
        <v>0.75</v>
      </c>
      <c r="J48" s="65" t="str">
        <f>A48</f>
        <v>Conservation</v>
      </c>
      <c r="K48" s="129">
        <v>44035</v>
      </c>
      <c r="L48" s="129">
        <v>53473</v>
      </c>
      <c r="M48" s="131">
        <f>L48/K48</f>
        <v>1.214329510616555</v>
      </c>
      <c r="N48" s="129">
        <v>44035</v>
      </c>
      <c r="O48" s="129">
        <v>0</v>
      </c>
      <c r="P48" s="131">
        <v>0</v>
      </c>
      <c r="Q48" s="13"/>
      <c r="R48" s="129">
        <v>44035</v>
      </c>
      <c r="S48" s="129">
        <v>0</v>
      </c>
      <c r="T48" s="131">
        <v>0</v>
      </c>
      <c r="U48" s="13"/>
      <c r="V48" s="13">
        <v>44035</v>
      </c>
      <c r="W48" s="13">
        <v>1783.36</v>
      </c>
      <c r="X48" s="80">
        <v>4.0498694220506413E-2</v>
      </c>
      <c r="Y48" s="13"/>
      <c r="Z48" s="13">
        <v>44035</v>
      </c>
      <c r="AA48" s="13">
        <v>34213.74</v>
      </c>
      <c r="AB48" s="80">
        <v>0.77696695810151006</v>
      </c>
      <c r="AC48" s="13"/>
      <c r="AD48" s="80">
        <v>0.1571470434231437</v>
      </c>
      <c r="AE48" s="13"/>
      <c r="AF48" s="13"/>
      <c r="AG48" s="13"/>
      <c r="AH48" s="80"/>
      <c r="AI48" s="13"/>
      <c r="AJ48" s="80"/>
      <c r="AK48" s="13"/>
    </row>
    <row r="49" spans="1:37" ht="15.75" customHeight="1">
      <c r="A49" s="168" t="s">
        <v>102</v>
      </c>
      <c r="B49" s="169"/>
      <c r="C49" s="153">
        <f t="shared" si="7"/>
        <v>20500895</v>
      </c>
      <c r="D49" s="153">
        <f t="shared" si="7"/>
        <v>13674822</v>
      </c>
      <c r="E49" s="162">
        <f>(D49/C49)</f>
        <v>0.66703536601694702</v>
      </c>
      <c r="F49" s="153">
        <f>+G49-D49</f>
        <v>1700849.25</v>
      </c>
      <c r="G49" s="23">
        <f t="shared" ref="G49:G51" si="8">C49*0.75</f>
        <v>15375671.25</v>
      </c>
      <c r="H49" s="25">
        <f>C49-D49</f>
        <v>6826073</v>
      </c>
      <c r="I49" s="1">
        <v>0.75</v>
      </c>
      <c r="J49" s="65" t="str">
        <f>A49</f>
        <v>Public Transport</v>
      </c>
      <c r="K49" s="129">
        <v>20500895</v>
      </c>
      <c r="L49" s="129">
        <v>13674822</v>
      </c>
      <c r="M49" s="131">
        <f>L49/K49</f>
        <v>0.66703536601694702</v>
      </c>
      <c r="N49" s="129">
        <v>19844693</v>
      </c>
      <c r="O49" s="129">
        <v>12288907.039999999</v>
      </c>
      <c r="P49" s="131">
        <v>0.61925407664406795</v>
      </c>
      <c r="Q49" s="81"/>
      <c r="R49" s="129">
        <v>19188923</v>
      </c>
      <c r="S49" s="129">
        <v>11472125</v>
      </c>
      <c r="T49" s="131">
        <v>0.59785142709676831</v>
      </c>
      <c r="U49" s="81"/>
      <c r="V49" s="81">
        <v>19347332</v>
      </c>
      <c r="W49" s="81">
        <v>12130895.800000001</v>
      </c>
      <c r="X49" s="80">
        <v>0.62700613190490562</v>
      </c>
      <c r="Y49" s="81"/>
      <c r="Z49" s="81">
        <v>19861346</v>
      </c>
      <c r="AA49" s="81">
        <v>10227779.729999999</v>
      </c>
      <c r="AB49" s="80">
        <v>0.51495904305780682</v>
      </c>
      <c r="AC49" s="81"/>
      <c r="AD49" s="80">
        <v>0.43890600750730813</v>
      </c>
      <c r="AE49" s="13"/>
      <c r="AF49" s="81"/>
      <c r="AG49" s="81"/>
      <c r="AH49" s="80"/>
      <c r="AI49" s="81"/>
      <c r="AJ49" s="80"/>
      <c r="AK49" s="13"/>
    </row>
    <row r="50" spans="1:37" ht="15.75" customHeight="1" thickBot="1">
      <c r="A50" s="168" t="s">
        <v>21</v>
      </c>
      <c r="B50" s="169"/>
      <c r="C50" s="153">
        <f t="shared" si="7"/>
        <v>0</v>
      </c>
      <c r="D50" s="153">
        <f t="shared" si="7"/>
        <v>0</v>
      </c>
      <c r="E50" s="163" t="s">
        <v>117</v>
      </c>
      <c r="F50" s="153">
        <f>+G50-D50</f>
        <v>0</v>
      </c>
      <c r="G50" s="23">
        <f t="shared" si="8"/>
        <v>0</v>
      </c>
      <c r="H50" s="25">
        <f>C50-D50</f>
        <v>0</v>
      </c>
      <c r="I50" s="1">
        <v>0.75</v>
      </c>
      <c r="J50" s="65" t="s">
        <v>21</v>
      </c>
      <c r="K50" s="130">
        <v>0</v>
      </c>
      <c r="L50" s="130">
        <v>0</v>
      </c>
      <c r="M50" s="133">
        <v>0</v>
      </c>
      <c r="N50" s="130">
        <v>0</v>
      </c>
      <c r="O50" s="130">
        <v>0</v>
      </c>
      <c r="P50" s="133">
        <v>0</v>
      </c>
      <c r="Q50" s="83"/>
      <c r="R50" s="130">
        <v>0</v>
      </c>
      <c r="S50" s="130">
        <v>0</v>
      </c>
      <c r="T50" s="133">
        <v>0</v>
      </c>
      <c r="U50" s="83"/>
      <c r="V50" s="83">
        <v>0</v>
      </c>
      <c r="W50" s="83">
        <v>0</v>
      </c>
      <c r="X50" s="77" t="e">
        <v>#DIV/0!</v>
      </c>
      <c r="Y50" s="83"/>
      <c r="Z50" s="83">
        <v>0</v>
      </c>
      <c r="AA50" s="83">
        <v>433900</v>
      </c>
      <c r="AB50" s="77" t="e">
        <v>#DIV/0!</v>
      </c>
      <c r="AC50" s="83"/>
      <c r="AD50" s="77">
        <v>1</v>
      </c>
      <c r="AE50" s="84"/>
      <c r="AF50" s="83"/>
      <c r="AG50" s="83"/>
      <c r="AH50" s="77"/>
      <c r="AI50" s="83"/>
      <c r="AJ50" s="77"/>
      <c r="AK50" s="84"/>
    </row>
    <row r="51" spans="1:37" ht="15.75" customHeight="1" thickBot="1">
      <c r="A51" s="170" t="s">
        <v>22</v>
      </c>
      <c r="B51" s="171"/>
      <c r="C51" s="151">
        <f>SUM(C48:C50)</f>
        <v>20544930</v>
      </c>
      <c r="D51" s="151">
        <f>SUM(D48:D50)</f>
        <v>13728295</v>
      </c>
      <c r="E51" s="162">
        <f>(D51/C51)</f>
        <v>0.66820840956868677</v>
      </c>
      <c r="F51" s="156">
        <f>+G51-D51</f>
        <v>1680402.5</v>
      </c>
      <c r="G51" s="23">
        <f t="shared" si="8"/>
        <v>15408697.5</v>
      </c>
      <c r="J51" s="50"/>
      <c r="K51" s="82">
        <f>SUM(K48:K50)</f>
        <v>20544930</v>
      </c>
      <c r="L51" s="82">
        <f>SUM(L48:L50)</f>
        <v>13728295</v>
      </c>
      <c r="M51" s="132">
        <f>L51/K51</f>
        <v>0.66820840956868677</v>
      </c>
      <c r="N51" s="82">
        <v>19888728</v>
      </c>
      <c r="O51" s="82">
        <v>12288907.039999999</v>
      </c>
      <c r="P51" s="132">
        <v>0.6178830058915783</v>
      </c>
      <c r="Q51" s="82"/>
      <c r="R51" s="82">
        <v>19232958</v>
      </c>
      <c r="S51" s="82">
        <v>11472125</v>
      </c>
      <c r="T51" s="132">
        <v>0.59648261073517661</v>
      </c>
      <c r="U51" s="82"/>
      <c r="V51" s="82">
        <v>19391367</v>
      </c>
      <c r="W51" s="82">
        <v>12132679.16</v>
      </c>
      <c r="X51" s="78">
        <v>0.62567425803451604</v>
      </c>
      <c r="Y51" s="82"/>
      <c r="Z51" s="82">
        <v>19905381</v>
      </c>
      <c r="AA51" s="82">
        <v>10695893.469999999</v>
      </c>
      <c r="AB51" s="78">
        <v>0.53733678697232667</v>
      </c>
      <c r="AC51" s="82"/>
      <c r="AD51" s="78">
        <v>0.4465085290198576</v>
      </c>
      <c r="AE51" s="82"/>
      <c r="AF51" s="82"/>
      <c r="AG51" s="82"/>
      <c r="AH51" s="78"/>
      <c r="AI51" s="82"/>
      <c r="AJ51" s="78"/>
      <c r="AK51" s="82"/>
    </row>
    <row r="52" spans="1:37" ht="15.75" customHeight="1" thickTop="1">
      <c r="A52" s="157"/>
      <c r="B52" s="157"/>
      <c r="C52" s="158"/>
      <c r="D52" s="158"/>
      <c r="E52" s="159"/>
      <c r="F52" s="160"/>
      <c r="G52" s="14"/>
      <c r="J52" s="50"/>
      <c r="K52" s="50"/>
      <c r="L52" s="50"/>
      <c r="M52" s="50"/>
      <c r="N52" s="137"/>
      <c r="O52" s="137"/>
      <c r="P52" s="138"/>
      <c r="Q52" s="24"/>
      <c r="R52" s="24"/>
      <c r="S52" s="24"/>
      <c r="T52" s="136"/>
      <c r="U52" s="24"/>
      <c r="V52" s="24"/>
      <c r="W52" s="24"/>
      <c r="X52" s="136"/>
      <c r="Y52" s="24"/>
      <c r="Z52" s="136"/>
      <c r="AA52" s="24"/>
      <c r="AB52" s="24"/>
      <c r="AC52" s="24"/>
      <c r="AD52" s="136"/>
      <c r="AE52" s="24"/>
      <c r="AF52" s="136"/>
      <c r="AG52" s="24"/>
    </row>
    <row r="53" spans="1:37" ht="15.75">
      <c r="A53" s="147"/>
      <c r="B53" s="147"/>
      <c r="C53" s="147"/>
      <c r="D53" s="147"/>
      <c r="E53" s="147"/>
      <c r="F53" s="147"/>
    </row>
    <row r="54" spans="1:37" ht="15.75">
      <c r="A54" s="147"/>
      <c r="B54" s="147"/>
      <c r="C54" s="147"/>
      <c r="D54" s="147"/>
      <c r="E54" s="147"/>
      <c r="F54" s="147"/>
    </row>
    <row r="55" spans="1:37" ht="15.75">
      <c r="A55" s="147"/>
      <c r="B55" s="147"/>
      <c r="C55" s="147"/>
      <c r="D55" s="147"/>
      <c r="E55" s="147"/>
      <c r="F55" s="147"/>
    </row>
    <row r="56" spans="1:37" ht="15.75">
      <c r="A56" s="147"/>
      <c r="B56" s="147"/>
      <c r="C56" s="147"/>
      <c r="D56" s="147"/>
      <c r="E56" s="147"/>
      <c r="F56" s="147"/>
    </row>
    <row r="57" spans="1:37" ht="15.75">
      <c r="A57" s="147"/>
      <c r="B57" s="147"/>
      <c r="C57" s="147"/>
      <c r="D57" s="147"/>
      <c r="E57" s="147"/>
      <c r="F57" s="147"/>
    </row>
    <row r="58" spans="1:37" ht="15.75">
      <c r="A58" s="147"/>
      <c r="B58" s="147"/>
      <c r="C58" s="147"/>
      <c r="D58" s="147"/>
      <c r="E58" s="147"/>
      <c r="F58" s="147"/>
    </row>
    <row r="59" spans="1:37" ht="15.75">
      <c r="A59" s="147"/>
      <c r="B59" s="147"/>
      <c r="C59" s="147"/>
      <c r="D59" s="147"/>
      <c r="E59" s="147"/>
      <c r="F59" s="147"/>
    </row>
    <row r="60" spans="1:37" ht="15.75">
      <c r="A60" s="147"/>
      <c r="B60" s="147"/>
      <c r="C60" s="147"/>
      <c r="D60" s="147"/>
      <c r="E60" s="147"/>
      <c r="F60" s="147"/>
    </row>
    <row r="61" spans="1:37" ht="15.75">
      <c r="A61" s="147"/>
      <c r="B61" s="147"/>
      <c r="C61" s="147"/>
      <c r="D61" s="147"/>
      <c r="E61" s="147"/>
      <c r="F61" s="147"/>
    </row>
    <row r="62" spans="1:37" ht="15.75">
      <c r="A62" s="147"/>
      <c r="B62" s="147"/>
      <c r="C62" s="147"/>
      <c r="D62" s="147"/>
      <c r="E62" s="147"/>
      <c r="F62" s="147"/>
    </row>
    <row r="63" spans="1:37" ht="15.75">
      <c r="A63" s="147"/>
      <c r="B63" s="147"/>
      <c r="C63" s="147"/>
      <c r="D63" s="147"/>
      <c r="E63" s="147"/>
      <c r="F63" s="147"/>
    </row>
    <row r="64" spans="1:37" ht="15.75">
      <c r="A64" s="147"/>
      <c r="B64" s="147"/>
      <c r="C64" s="147"/>
      <c r="D64" s="147"/>
      <c r="E64" s="147"/>
      <c r="F64" s="147"/>
    </row>
    <row r="65" spans="1:6" ht="15.75">
      <c r="A65" s="147"/>
      <c r="B65" s="147"/>
      <c r="C65" s="147"/>
      <c r="D65" s="147"/>
      <c r="E65" s="147"/>
      <c r="F65" s="147"/>
    </row>
    <row r="66" spans="1:6" ht="15.75">
      <c r="A66" s="147"/>
      <c r="B66" s="147"/>
      <c r="C66" s="147"/>
      <c r="D66" s="147"/>
      <c r="E66" s="147"/>
      <c r="F66" s="147"/>
    </row>
    <row r="67" spans="1:6" ht="15.75">
      <c r="A67" s="147"/>
      <c r="B67" s="147"/>
      <c r="C67" s="147"/>
      <c r="D67" s="147"/>
      <c r="E67" s="147"/>
      <c r="F67" s="147"/>
    </row>
    <row r="68" spans="1:6" ht="15.75">
      <c r="A68" s="147"/>
      <c r="B68" s="147"/>
      <c r="C68" s="147"/>
      <c r="D68" s="147"/>
      <c r="E68" s="147"/>
      <c r="F68" s="147"/>
    </row>
    <row r="69" spans="1:6" ht="15.75">
      <c r="A69" s="147"/>
      <c r="B69" s="147"/>
      <c r="C69" s="147"/>
      <c r="D69" s="147"/>
      <c r="E69" s="147"/>
      <c r="F69" s="147"/>
    </row>
    <row r="70" spans="1:6" ht="15.75">
      <c r="A70" s="147"/>
      <c r="B70" s="147"/>
      <c r="C70" s="147"/>
      <c r="D70" s="147"/>
      <c r="E70" s="147"/>
      <c r="F70" s="147"/>
    </row>
    <row r="71" spans="1:6" ht="15.75">
      <c r="A71" s="147"/>
      <c r="B71" s="147"/>
      <c r="C71" s="147"/>
      <c r="D71" s="147"/>
      <c r="E71" s="147"/>
      <c r="F71" s="147"/>
    </row>
    <row r="72" spans="1:6" ht="15.75">
      <c r="A72" s="147"/>
      <c r="B72" s="147"/>
      <c r="C72" s="147"/>
      <c r="D72" s="147"/>
      <c r="E72" s="147"/>
      <c r="F72" s="147"/>
    </row>
    <row r="73" spans="1:6" ht="15.75">
      <c r="A73" s="147"/>
      <c r="B73" s="147"/>
      <c r="C73" s="147"/>
      <c r="D73" s="147"/>
      <c r="E73" s="147"/>
      <c r="F73" s="147"/>
    </row>
    <row r="74" spans="1:6" ht="15.75">
      <c r="A74" s="147"/>
      <c r="B74" s="147"/>
      <c r="C74" s="147"/>
      <c r="D74" s="147"/>
      <c r="E74" s="147"/>
      <c r="F74" s="147"/>
    </row>
    <row r="75" spans="1:6" ht="15.75">
      <c r="A75" s="147"/>
      <c r="B75" s="147"/>
      <c r="C75" s="147"/>
      <c r="D75" s="147"/>
      <c r="E75" s="147"/>
      <c r="F75" s="147"/>
    </row>
    <row r="76" spans="1:6" ht="15.75">
      <c r="A76" s="147"/>
      <c r="B76" s="147"/>
      <c r="C76" s="147"/>
      <c r="D76" s="147"/>
      <c r="E76" s="147"/>
      <c r="F76" s="147"/>
    </row>
    <row r="77" spans="1:6" ht="15.75">
      <c r="A77" s="147"/>
      <c r="B77" s="147"/>
      <c r="C77" s="147"/>
      <c r="D77" s="147"/>
      <c r="E77" s="147"/>
      <c r="F77" s="147"/>
    </row>
    <row r="78" spans="1:6" ht="15.75">
      <c r="A78" s="147"/>
      <c r="B78" s="147"/>
      <c r="C78" s="147"/>
      <c r="D78" s="147"/>
      <c r="E78" s="147"/>
      <c r="F78" s="147"/>
    </row>
    <row r="79" spans="1:6" ht="15.75">
      <c r="A79" s="147"/>
      <c r="B79" s="147"/>
      <c r="C79" s="147"/>
      <c r="D79" s="147"/>
      <c r="E79" s="147"/>
      <c r="F79" s="147"/>
    </row>
    <row r="80" spans="1:6" ht="15.75">
      <c r="A80" s="147"/>
      <c r="B80" s="147"/>
      <c r="C80" s="147"/>
      <c r="D80" s="147"/>
      <c r="E80" s="147"/>
      <c r="F80" s="147"/>
    </row>
    <row r="81" spans="1:6" ht="15.75">
      <c r="A81" s="147"/>
      <c r="B81" s="147"/>
      <c r="C81" s="147"/>
      <c r="D81" s="147"/>
      <c r="E81" s="147"/>
      <c r="F81" s="147"/>
    </row>
    <row r="82" spans="1:6" ht="15.75">
      <c r="A82" s="147"/>
      <c r="B82" s="147"/>
      <c r="C82" s="147"/>
      <c r="D82" s="147"/>
      <c r="E82" s="147"/>
      <c r="F82" s="147"/>
    </row>
    <row r="83" spans="1:6" ht="15.75">
      <c r="A83" s="147"/>
      <c r="B83" s="147"/>
      <c r="C83" s="147"/>
      <c r="D83" s="147"/>
      <c r="E83" s="147"/>
      <c r="F83" s="147"/>
    </row>
    <row r="84" spans="1:6" ht="15.75">
      <c r="A84" s="147"/>
      <c r="B84" s="147"/>
      <c r="C84" s="147"/>
      <c r="D84" s="147"/>
      <c r="E84" s="147"/>
      <c r="F84" s="147"/>
    </row>
    <row r="85" spans="1:6" ht="15.75">
      <c r="A85" s="147"/>
      <c r="B85" s="147"/>
      <c r="C85" s="147"/>
      <c r="D85" s="147"/>
      <c r="E85" s="147"/>
      <c r="F85" s="147"/>
    </row>
    <row r="86" spans="1:6" ht="15.75">
      <c r="A86" s="147"/>
      <c r="B86" s="147"/>
      <c r="C86" s="147"/>
      <c r="D86" s="147"/>
      <c r="E86" s="147"/>
      <c r="F86" s="147"/>
    </row>
    <row r="87" spans="1:6" ht="15.75">
      <c r="A87" s="147"/>
      <c r="B87" s="147"/>
      <c r="C87" s="147"/>
      <c r="D87" s="147"/>
      <c r="E87" s="147"/>
      <c r="F87" s="147"/>
    </row>
    <row r="88" spans="1:6" ht="15.75">
      <c r="A88" s="147"/>
      <c r="B88" s="147"/>
      <c r="C88" s="147"/>
      <c r="D88" s="147"/>
      <c r="E88" s="147"/>
      <c r="F88" s="147"/>
    </row>
    <row r="89" spans="1:6" ht="15.75">
      <c r="A89" s="147"/>
      <c r="B89" s="147"/>
      <c r="C89" s="147"/>
      <c r="D89" s="147"/>
      <c r="E89" s="147"/>
      <c r="F89" s="147"/>
    </row>
    <row r="90" spans="1:6" ht="15.75">
      <c r="A90" s="147"/>
      <c r="B90" s="147"/>
      <c r="C90" s="147"/>
      <c r="D90" s="147"/>
      <c r="E90" s="147"/>
      <c r="F90" s="147"/>
    </row>
    <row r="91" spans="1:6" ht="15.75">
      <c r="A91" s="147"/>
      <c r="B91" s="147"/>
      <c r="C91" s="147"/>
      <c r="D91" s="147"/>
      <c r="E91" s="147"/>
      <c r="F91" s="147"/>
    </row>
    <row r="92" spans="1:6" ht="15.75">
      <c r="A92" s="147"/>
      <c r="B92" s="147"/>
      <c r="C92" s="147"/>
      <c r="D92" s="147"/>
      <c r="E92" s="147"/>
      <c r="F92" s="147"/>
    </row>
    <row r="93" spans="1:6" ht="15.75">
      <c r="A93" s="147"/>
      <c r="B93" s="147"/>
      <c r="C93" s="147"/>
      <c r="D93" s="147"/>
      <c r="E93" s="147"/>
      <c r="F93" s="147"/>
    </row>
    <row r="94" spans="1:6" ht="15.75">
      <c r="A94" s="147"/>
      <c r="B94" s="147"/>
      <c r="C94" s="147"/>
      <c r="D94" s="147"/>
      <c r="E94" s="147"/>
      <c r="F94" s="147"/>
    </row>
    <row r="95" spans="1:6" ht="15.75">
      <c r="A95" s="147"/>
      <c r="B95" s="147"/>
      <c r="C95" s="147"/>
      <c r="D95" s="147"/>
      <c r="E95" s="147"/>
      <c r="F95" s="147"/>
    </row>
    <row r="96" spans="1:6" ht="15.75">
      <c r="A96" s="147"/>
      <c r="B96" s="147"/>
      <c r="C96" s="147"/>
      <c r="D96" s="147"/>
      <c r="E96" s="147"/>
      <c r="F96" s="147"/>
    </row>
    <row r="97" spans="1:6" ht="15.75">
      <c r="A97" s="147"/>
      <c r="B97" s="147"/>
      <c r="C97" s="147"/>
      <c r="D97" s="147"/>
      <c r="E97" s="147"/>
      <c r="F97" s="147"/>
    </row>
    <row r="98" spans="1:6" ht="15.75">
      <c r="A98" s="147"/>
      <c r="B98" s="147"/>
      <c r="C98" s="147"/>
      <c r="D98" s="147"/>
      <c r="E98" s="147"/>
      <c r="F98" s="147"/>
    </row>
    <row r="99" spans="1:6" ht="15.75">
      <c r="A99" s="147"/>
      <c r="B99" s="147"/>
      <c r="C99" s="147"/>
      <c r="D99" s="147"/>
      <c r="E99" s="147"/>
      <c r="F99" s="147"/>
    </row>
    <row r="100" spans="1:6" ht="15.75">
      <c r="A100" s="147"/>
      <c r="B100" s="147"/>
      <c r="C100" s="147"/>
      <c r="D100" s="147"/>
      <c r="E100" s="147"/>
      <c r="F100" s="147"/>
    </row>
    <row r="101" spans="1:6" ht="15.75">
      <c r="A101" s="147"/>
      <c r="B101" s="147"/>
      <c r="C101" s="147"/>
      <c r="D101" s="147"/>
      <c r="E101" s="147"/>
      <c r="F101" s="147"/>
    </row>
    <row r="102" spans="1:6" ht="15.75">
      <c r="A102" s="147"/>
      <c r="B102" s="147"/>
      <c r="C102" s="147"/>
      <c r="D102" s="147"/>
      <c r="E102" s="147"/>
      <c r="F102" s="147"/>
    </row>
    <row r="103" spans="1:6" ht="9.75" customHeight="1">
      <c r="A103" s="147"/>
      <c r="B103" s="147"/>
      <c r="C103" s="147"/>
      <c r="D103" s="147"/>
      <c r="E103" s="147"/>
      <c r="F103" s="147"/>
    </row>
    <row r="104" spans="1:6" ht="15.75">
      <c r="A104" s="147"/>
      <c r="B104" s="147"/>
      <c r="C104" s="147"/>
      <c r="D104" s="147"/>
      <c r="E104" s="147"/>
      <c r="F104" s="147"/>
    </row>
    <row r="105" spans="1:6" ht="15.75">
      <c r="A105" s="147"/>
      <c r="B105" s="147"/>
      <c r="C105" s="147"/>
      <c r="D105" s="147"/>
      <c r="E105" s="147"/>
      <c r="F105" s="147"/>
    </row>
    <row r="106" spans="1:6" ht="15.75">
      <c r="A106" s="147"/>
      <c r="B106" s="147"/>
      <c r="C106" s="147"/>
      <c r="D106" s="147"/>
      <c r="E106" s="147"/>
      <c r="F106" s="147"/>
    </row>
    <row r="107" spans="1:6" ht="15.75">
      <c r="A107" s="147"/>
      <c r="B107" s="147"/>
      <c r="C107" s="147"/>
      <c r="D107" s="147"/>
      <c r="E107" s="147"/>
      <c r="F107" s="147"/>
    </row>
    <row r="108" spans="1:6" ht="15.75">
      <c r="A108" s="147"/>
      <c r="B108" s="147"/>
      <c r="C108" s="147"/>
      <c r="D108" s="147"/>
      <c r="E108" s="147"/>
      <c r="F108" s="147"/>
    </row>
    <row r="109" spans="1:6" ht="15.75">
      <c r="A109" s="147"/>
      <c r="B109" s="147"/>
      <c r="C109" s="147"/>
      <c r="D109" s="147"/>
      <c r="E109" s="147"/>
      <c r="F109" s="147"/>
    </row>
    <row r="110" spans="1:6" ht="15.75">
      <c r="A110" s="147"/>
      <c r="B110" s="147"/>
      <c r="C110" s="147"/>
      <c r="D110" s="147"/>
      <c r="E110" s="147"/>
      <c r="F110" s="147"/>
    </row>
    <row r="111" spans="1:6" ht="15.75">
      <c r="A111" s="147"/>
      <c r="B111" s="147"/>
      <c r="C111" s="147"/>
      <c r="D111" s="147"/>
      <c r="E111" s="147"/>
      <c r="F111" s="147"/>
    </row>
    <row r="112" spans="1:6" ht="15.75">
      <c r="A112" s="147"/>
      <c r="B112" s="147"/>
      <c r="C112" s="147"/>
      <c r="D112" s="147"/>
      <c r="E112" s="147"/>
      <c r="F112" s="147"/>
    </row>
    <row r="113" spans="1:6" ht="15.75">
      <c r="A113" s="147"/>
      <c r="B113" s="147"/>
      <c r="C113" s="147"/>
      <c r="D113" s="147"/>
      <c r="E113" s="147"/>
      <c r="F113" s="147"/>
    </row>
    <row r="114" spans="1:6" ht="15.75">
      <c r="A114" s="147"/>
      <c r="B114" s="147"/>
      <c r="C114" s="147"/>
      <c r="D114" s="147"/>
      <c r="E114" s="147"/>
      <c r="F114" s="147"/>
    </row>
    <row r="115" spans="1:6" ht="15.75">
      <c r="A115" s="147"/>
      <c r="B115" s="147"/>
      <c r="C115" s="147"/>
      <c r="D115" s="147"/>
      <c r="E115" s="147"/>
      <c r="F115" s="147"/>
    </row>
    <row r="116" spans="1:6" ht="15.75">
      <c r="A116" s="147"/>
      <c r="B116" s="147"/>
      <c r="C116" s="147"/>
      <c r="D116" s="147"/>
      <c r="E116" s="147"/>
      <c r="F116" s="147"/>
    </row>
    <row r="117" spans="1:6" ht="15.75">
      <c r="A117" s="147"/>
      <c r="B117" s="147"/>
      <c r="C117" s="147"/>
      <c r="D117" s="147"/>
      <c r="E117" s="147"/>
      <c r="F117" s="147"/>
    </row>
    <row r="118" spans="1:6" ht="15.75">
      <c r="A118" s="147"/>
      <c r="B118" s="147"/>
      <c r="C118" s="147"/>
      <c r="D118" s="147"/>
      <c r="E118" s="147"/>
      <c r="F118" s="147"/>
    </row>
    <row r="119" spans="1:6" ht="15.75">
      <c r="A119" s="147"/>
      <c r="B119" s="147"/>
      <c r="C119" s="147"/>
      <c r="D119" s="147"/>
      <c r="E119" s="147"/>
      <c r="F119" s="147"/>
    </row>
    <row r="120" spans="1:6" ht="15.75">
      <c r="A120" s="147"/>
      <c r="B120" s="147"/>
      <c r="C120" s="147"/>
      <c r="D120" s="147"/>
      <c r="E120" s="147"/>
      <c r="F120" s="147"/>
    </row>
    <row r="121" spans="1:6" ht="15.75">
      <c r="A121" s="147"/>
      <c r="B121" s="147"/>
      <c r="C121" s="147"/>
      <c r="D121" s="147"/>
      <c r="E121" s="147"/>
      <c r="F121" s="147"/>
    </row>
    <row r="122" spans="1:6" ht="15.75">
      <c r="A122" s="147"/>
      <c r="B122" s="147"/>
      <c r="C122" s="147"/>
      <c r="D122" s="147"/>
      <c r="E122" s="147"/>
      <c r="F122" s="147"/>
    </row>
    <row r="123" spans="1:6" ht="15.75">
      <c r="A123" s="147"/>
      <c r="B123" s="147"/>
      <c r="C123" s="147"/>
      <c r="D123" s="147"/>
      <c r="E123" s="147"/>
      <c r="F123" s="147"/>
    </row>
    <row r="124" spans="1:6" ht="15.75">
      <c r="A124" s="147"/>
      <c r="B124" s="147"/>
      <c r="C124" s="147"/>
      <c r="D124" s="147"/>
      <c r="E124" s="147"/>
      <c r="F124" s="147"/>
    </row>
    <row r="125" spans="1:6" ht="15.75">
      <c r="A125" s="147"/>
      <c r="B125" s="147"/>
      <c r="C125" s="147"/>
      <c r="D125" s="147"/>
      <c r="E125" s="147"/>
      <c r="F125" s="147"/>
    </row>
    <row r="126" spans="1:6" ht="15.75">
      <c r="A126" s="147"/>
      <c r="B126" s="147"/>
      <c r="C126" s="147"/>
      <c r="D126" s="147"/>
      <c r="E126" s="147"/>
      <c r="F126" s="147"/>
    </row>
    <row r="127" spans="1:6" ht="15.75">
      <c r="A127" s="147"/>
      <c r="B127" s="147"/>
      <c r="C127" s="147"/>
      <c r="D127" s="147"/>
      <c r="E127" s="147"/>
      <c r="F127" s="147"/>
    </row>
  </sheetData>
  <mergeCells count="17">
    <mergeCell ref="A45:F45"/>
    <mergeCell ref="B3:D3"/>
    <mergeCell ref="A13:F13"/>
    <mergeCell ref="A14:F14"/>
    <mergeCell ref="A16:B16"/>
    <mergeCell ref="A17:B17"/>
    <mergeCell ref="A18:B18"/>
    <mergeCell ref="A19:B19"/>
    <mergeCell ref="A20:B20"/>
    <mergeCell ref="A21:B21"/>
    <mergeCell ref="A22:B22"/>
    <mergeCell ref="A23:B23"/>
    <mergeCell ref="A47:B47"/>
    <mergeCell ref="A48:B48"/>
    <mergeCell ref="A49:B49"/>
    <mergeCell ref="A50:B50"/>
    <mergeCell ref="A51:B51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79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21" sqref="D21"/>
    </sheetView>
  </sheetViews>
  <sheetFormatPr defaultRowHeight="15.75"/>
  <cols>
    <col min="1" max="1" width="27.25" bestFit="1" customWidth="1"/>
    <col min="2" max="2" width="26.625" bestFit="1" customWidth="1"/>
    <col min="3" max="3" width="5.5" bestFit="1" customWidth="1"/>
    <col min="4" max="4" width="13.875" customWidth="1"/>
    <col min="5" max="5" width="14.875" bestFit="1" customWidth="1"/>
  </cols>
  <sheetData>
    <row r="1" spans="1:5" ht="25.5">
      <c r="A1" s="88" t="s">
        <v>39</v>
      </c>
      <c r="B1" s="89" t="s">
        <v>40</v>
      </c>
      <c r="C1" s="89" t="s">
        <v>41</v>
      </c>
      <c r="D1" s="123" t="s">
        <v>5</v>
      </c>
      <c r="E1" s="90" t="s">
        <v>42</v>
      </c>
    </row>
    <row r="2" spans="1:5">
      <c r="A2" s="92" t="s">
        <v>10</v>
      </c>
      <c r="B2" s="93" t="s">
        <v>55</v>
      </c>
      <c r="C2" s="94">
        <v>2010</v>
      </c>
      <c r="D2" s="103">
        <v>4196940.17</v>
      </c>
      <c r="E2" s="117">
        <v>4337995</v>
      </c>
    </row>
    <row r="3" spans="1:5" ht="21" customHeight="1">
      <c r="A3" s="95"/>
      <c r="B3" s="96"/>
      <c r="C3" s="96"/>
      <c r="D3" s="105">
        <f>SUBTOTAL(9,D2:D2)</f>
        <v>4196940.17</v>
      </c>
      <c r="E3" s="118">
        <f>SUBTOTAL(9,E2:E2)</f>
        <v>4337995</v>
      </c>
    </row>
    <row r="4" spans="1:5">
      <c r="A4" s="92" t="s">
        <v>0</v>
      </c>
      <c r="B4" s="93" t="s">
        <v>56</v>
      </c>
      <c r="C4" s="94">
        <v>2010</v>
      </c>
      <c r="D4" s="103">
        <v>630</v>
      </c>
      <c r="E4" s="117">
        <v>1854</v>
      </c>
    </row>
    <row r="5" spans="1:5" ht="21" customHeight="1">
      <c r="A5" s="95"/>
      <c r="B5" s="96"/>
      <c r="C5" s="96"/>
      <c r="D5" s="105">
        <f>SUBTOTAL(9,D4:D4)</f>
        <v>630</v>
      </c>
      <c r="E5" s="118">
        <f>SUBTOTAL(9,E4:E4)</f>
        <v>1854</v>
      </c>
    </row>
    <row r="6" spans="1:5">
      <c r="A6" s="92" t="s">
        <v>11</v>
      </c>
      <c r="B6" s="93" t="s">
        <v>57</v>
      </c>
      <c r="C6" s="94">
        <v>2010</v>
      </c>
      <c r="D6" s="85">
        <v>0</v>
      </c>
      <c r="E6" s="86">
        <v>0</v>
      </c>
    </row>
    <row r="7" spans="1:5" ht="21" customHeight="1">
      <c r="A7" s="95"/>
      <c r="B7" s="96"/>
      <c r="C7" s="96"/>
      <c r="D7" s="105">
        <f>SUBTOTAL(9,D6:D6)</f>
        <v>0</v>
      </c>
      <c r="E7" s="118">
        <f>SUBTOTAL(9,E6:E6)</f>
        <v>0</v>
      </c>
    </row>
    <row r="8" spans="1:5">
      <c r="A8" s="99" t="s">
        <v>14</v>
      </c>
      <c r="B8" s="93" t="s">
        <v>58</v>
      </c>
      <c r="C8" s="94">
        <v>2010</v>
      </c>
      <c r="D8" s="85">
        <v>8203.06</v>
      </c>
      <c r="E8" s="86">
        <v>301400</v>
      </c>
    </row>
    <row r="9" spans="1:5">
      <c r="A9" s="100"/>
      <c r="B9" s="93" t="s">
        <v>86</v>
      </c>
      <c r="C9" s="94">
        <v>2010</v>
      </c>
      <c r="D9" s="85">
        <v>5716610.3499999996</v>
      </c>
      <c r="E9" s="86">
        <v>11793090</v>
      </c>
    </row>
    <row r="10" spans="1:5" ht="21" customHeight="1">
      <c r="A10" s="95"/>
      <c r="B10" s="96"/>
      <c r="C10" s="96"/>
      <c r="D10" s="105">
        <f>SUBTOTAL(9,D8:D9)</f>
        <v>5724813.4099999992</v>
      </c>
      <c r="E10" s="105">
        <f>SUBTOTAL(9,E8:E9)</f>
        <v>12094490</v>
      </c>
    </row>
    <row r="11" spans="1:5">
      <c r="A11" s="92" t="s">
        <v>16</v>
      </c>
      <c r="B11" s="93" t="s">
        <v>59</v>
      </c>
      <c r="C11" s="94">
        <v>2010</v>
      </c>
      <c r="D11" s="85">
        <v>853428.09</v>
      </c>
      <c r="E11" s="86">
        <v>2295355</v>
      </c>
    </row>
    <row r="12" spans="1:5" ht="21" customHeight="1">
      <c r="A12" s="95"/>
      <c r="B12" s="96"/>
      <c r="C12" s="96"/>
      <c r="D12" s="105">
        <f>SUBTOTAL(9,D11:D11)</f>
        <v>853428.09</v>
      </c>
      <c r="E12" s="118">
        <f>SUBTOTAL(9,E11:E11)</f>
        <v>2295355</v>
      </c>
    </row>
    <row r="13" spans="1:5">
      <c r="A13" s="92" t="s">
        <v>12</v>
      </c>
      <c r="B13" s="93" t="s">
        <v>60</v>
      </c>
      <c r="C13" s="94">
        <v>2010</v>
      </c>
      <c r="D13" s="85">
        <v>93456.47</v>
      </c>
      <c r="E13" s="86">
        <v>280881</v>
      </c>
    </row>
    <row r="14" spans="1:5" ht="21" customHeight="1">
      <c r="A14" s="95"/>
      <c r="B14" s="96"/>
      <c r="C14" s="96"/>
      <c r="D14" s="105">
        <f>SUBTOTAL(9,D13:D13)</f>
        <v>93456.47</v>
      </c>
      <c r="E14" s="118">
        <f>SUBTOTAL(9,E13:E13)</f>
        <v>280881</v>
      </c>
    </row>
    <row r="15" spans="1:5">
      <c r="A15" s="92" t="s">
        <v>15</v>
      </c>
      <c r="B15" s="93" t="s">
        <v>61</v>
      </c>
      <c r="C15" s="94">
        <v>2010</v>
      </c>
      <c r="D15" s="85">
        <v>0</v>
      </c>
      <c r="E15" s="86">
        <v>0</v>
      </c>
    </row>
    <row r="16" spans="1:5" ht="21" customHeight="1">
      <c r="A16" s="95"/>
      <c r="B16" s="96"/>
      <c r="C16" s="96"/>
      <c r="D16" s="105">
        <f>SUBTOTAL(9,D15:D15)</f>
        <v>0</v>
      </c>
      <c r="E16" s="118">
        <f>SUBTOTAL(9,E15:E15)</f>
        <v>0</v>
      </c>
    </row>
    <row r="17" spans="1:5">
      <c r="A17" s="92" t="s">
        <v>13</v>
      </c>
      <c r="B17" s="93" t="s">
        <v>62</v>
      </c>
      <c r="C17" s="94">
        <v>2010</v>
      </c>
      <c r="D17" s="85">
        <v>16214.72</v>
      </c>
      <c r="E17" s="86">
        <v>15400</v>
      </c>
    </row>
    <row r="18" spans="1:5" ht="21" customHeight="1">
      <c r="A18" s="95"/>
      <c r="B18" s="96"/>
      <c r="C18" s="96"/>
      <c r="D18" s="105">
        <f>SUBTOTAL(9,D17:D17)</f>
        <v>16214.72</v>
      </c>
      <c r="E18" s="118">
        <f>SUBTOTAL(9,E17:E17)</f>
        <v>15400</v>
      </c>
    </row>
    <row r="19" spans="1:5">
      <c r="A19" s="92" t="s">
        <v>6</v>
      </c>
      <c r="B19" s="93" t="s">
        <v>63</v>
      </c>
      <c r="C19" s="94">
        <v>2010</v>
      </c>
      <c r="D19" s="85">
        <v>21543.83</v>
      </c>
      <c r="E19" s="86">
        <v>10000</v>
      </c>
    </row>
    <row r="20" spans="1:5" ht="21" customHeight="1">
      <c r="A20" s="95"/>
      <c r="B20" s="96"/>
      <c r="C20" s="96"/>
      <c r="D20" s="101">
        <f>SUBTOTAL(9,D19:D19)</f>
        <v>21543.83</v>
      </c>
      <c r="E20" s="119">
        <f>SUBTOTAL(9,E19:E19)</f>
        <v>10000</v>
      </c>
    </row>
    <row r="21" spans="1:5" ht="21" customHeight="1">
      <c r="A21" s="124"/>
      <c r="B21" s="120"/>
      <c r="C21" s="120"/>
      <c r="D21" s="121">
        <f>SUBTOTAL(9,D2:D20)</f>
        <v>10907026.689999999</v>
      </c>
      <c r="E21" s="122">
        <f>SUBTOTAL(9,E2:E20)</f>
        <v>19035975</v>
      </c>
    </row>
    <row r="22" spans="1:5">
      <c r="A22" s="102"/>
      <c r="B22" s="102"/>
      <c r="C22" s="102"/>
      <c r="D22" s="102"/>
      <c r="E22" s="10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6" sqref="B6"/>
    </sheetView>
  </sheetViews>
  <sheetFormatPr defaultColWidth="12.625" defaultRowHeight="12.75"/>
  <cols>
    <col min="1" max="1" width="17.5" style="37" bestFit="1" customWidth="1"/>
    <col min="2" max="2" width="23.375" style="37" bestFit="1" customWidth="1"/>
    <col min="3" max="4" width="13.5" style="37" bestFit="1" customWidth="1"/>
    <col min="5" max="5" width="12.5" style="37" bestFit="1" customWidth="1"/>
    <col min="6" max="16384" width="12.625" style="37"/>
  </cols>
  <sheetData>
    <row r="1" spans="1:6" ht="13.5" customHeight="1">
      <c r="A1" s="47" t="s">
        <v>67</v>
      </c>
      <c r="B1" s="47" t="s">
        <v>39</v>
      </c>
      <c r="C1" s="48" t="s">
        <v>68</v>
      </c>
      <c r="D1" s="48" t="s">
        <v>69</v>
      </c>
      <c r="E1" s="49" t="s">
        <v>70</v>
      </c>
      <c r="F1" s="36"/>
    </row>
    <row r="2" spans="1:6" ht="15" customHeight="1">
      <c r="A2" s="38">
        <v>80</v>
      </c>
      <c r="B2" s="39" t="s">
        <v>7</v>
      </c>
      <c r="C2" s="85">
        <v>44035</v>
      </c>
      <c r="D2" s="85">
        <v>46288</v>
      </c>
      <c r="E2" s="86">
        <v>1783.36</v>
      </c>
      <c r="F2" s="36"/>
    </row>
    <row r="3" spans="1:6" ht="15" customHeight="1">
      <c r="A3" s="38">
        <v>41</v>
      </c>
      <c r="B3" s="39" t="s">
        <v>35</v>
      </c>
      <c r="C3" s="85">
        <v>0</v>
      </c>
      <c r="D3" s="85">
        <v>0</v>
      </c>
      <c r="E3" s="86">
        <v>0</v>
      </c>
      <c r="F3" s="36"/>
    </row>
    <row r="4" spans="1:6" ht="15" customHeight="1">
      <c r="A4" s="38">
        <v>68</v>
      </c>
      <c r="B4" s="39" t="s">
        <v>71</v>
      </c>
      <c r="C4" s="85">
        <v>19347332</v>
      </c>
      <c r="D4" s="85">
        <v>24918727</v>
      </c>
      <c r="E4" s="86">
        <v>6630607.8399999999</v>
      </c>
      <c r="F4" s="36"/>
    </row>
    <row r="5" spans="1:6" ht="15" customHeight="1">
      <c r="A5" s="40">
        <v>88</v>
      </c>
      <c r="B5" s="41" t="s">
        <v>8</v>
      </c>
      <c r="C5" s="85">
        <v>0</v>
      </c>
      <c r="D5" s="85">
        <v>0</v>
      </c>
      <c r="E5" s="86">
        <v>0</v>
      </c>
      <c r="F5" s="36"/>
    </row>
    <row r="6" spans="1:6" ht="12.75" customHeight="1">
      <c r="A6" s="42"/>
      <c r="B6" s="36"/>
      <c r="C6" s="43">
        <f>SUBTOTAL(9,C2:C5)</f>
        <v>19391367</v>
      </c>
      <c r="D6" s="43">
        <f>SUBTOTAL(9,D2:D5)</f>
        <v>24965015</v>
      </c>
      <c r="E6" s="87">
        <f>SUBTOTAL(9,E2:E5)</f>
        <v>6632391.2000000002</v>
      </c>
      <c r="F6" s="36"/>
    </row>
    <row r="7" spans="1:6" ht="14.25" customHeight="1">
      <c r="A7" s="44"/>
      <c r="B7" s="45"/>
      <c r="C7" s="45"/>
      <c r="D7" s="45"/>
      <c r="E7" s="46"/>
      <c r="F7" s="36"/>
    </row>
    <row r="8" spans="1:6" ht="242.25" customHeight="1">
      <c r="A8" s="36"/>
      <c r="B8" s="36"/>
      <c r="C8" s="36"/>
      <c r="D8" s="36"/>
      <c r="E8" s="36"/>
      <c r="F8" s="36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zoomScaleNormal="100" workbookViewId="0">
      <selection activeCell="B26" sqref="B26"/>
    </sheetView>
  </sheetViews>
  <sheetFormatPr defaultRowHeight="15.75"/>
  <cols>
    <col min="1" max="1" width="27.25" bestFit="1" customWidth="1"/>
    <col min="2" max="2" width="26.625" bestFit="1" customWidth="1"/>
    <col min="3" max="3" width="5.5" bestFit="1" customWidth="1"/>
    <col min="4" max="4" width="11.625" bestFit="1" customWidth="1"/>
    <col min="5" max="5" width="14.875" bestFit="1" customWidth="1"/>
  </cols>
  <sheetData>
    <row r="1" spans="1:5" ht="25.5">
      <c r="A1" s="88" t="s">
        <v>39</v>
      </c>
      <c r="B1" s="89" t="s">
        <v>40</v>
      </c>
      <c r="C1" s="89" t="s">
        <v>41</v>
      </c>
      <c r="D1" s="123" t="s">
        <v>5</v>
      </c>
      <c r="E1" s="90" t="s">
        <v>42</v>
      </c>
    </row>
    <row r="2" spans="1:5">
      <c r="A2" s="92" t="s">
        <v>10</v>
      </c>
      <c r="B2" s="93" t="s">
        <v>55</v>
      </c>
      <c r="C2" s="94">
        <v>2010</v>
      </c>
      <c r="D2" s="103">
        <v>2345427.7200000002</v>
      </c>
      <c r="E2" s="117">
        <v>4337995</v>
      </c>
    </row>
    <row r="3" spans="1:5" ht="21" customHeight="1">
      <c r="A3" s="95"/>
      <c r="B3" s="96"/>
      <c r="C3" s="96"/>
      <c r="D3" s="105">
        <f>SUBTOTAL(9,D2:D2)</f>
        <v>2345427.7200000002</v>
      </c>
      <c r="E3" s="118">
        <f>SUBTOTAL(9,E2:E2)</f>
        <v>4337995</v>
      </c>
    </row>
    <row r="4" spans="1:5">
      <c r="A4" s="92" t="s">
        <v>0</v>
      </c>
      <c r="B4" s="93" t="s">
        <v>56</v>
      </c>
      <c r="C4" s="94">
        <v>2010</v>
      </c>
      <c r="D4" s="103">
        <v>360</v>
      </c>
      <c r="E4" s="117">
        <v>1854</v>
      </c>
    </row>
    <row r="5" spans="1:5" ht="21" customHeight="1">
      <c r="A5" s="95"/>
      <c r="B5" s="96"/>
      <c r="C5" s="96"/>
      <c r="D5" s="105">
        <f>SUBTOTAL(9,D4:D4)</f>
        <v>360</v>
      </c>
      <c r="E5" s="118">
        <f>SUBTOTAL(9,E4:E4)</f>
        <v>1854</v>
      </c>
    </row>
    <row r="6" spans="1:5">
      <c r="A6" s="92" t="s">
        <v>11</v>
      </c>
      <c r="B6" s="93" t="s">
        <v>57</v>
      </c>
      <c r="C6" s="94">
        <v>2010</v>
      </c>
      <c r="D6" s="85">
        <v>0</v>
      </c>
      <c r="E6" s="86">
        <v>0</v>
      </c>
    </row>
    <row r="7" spans="1:5" ht="21" customHeight="1">
      <c r="A7" s="95"/>
      <c r="B7" s="96"/>
      <c r="C7" s="96"/>
      <c r="D7" s="105">
        <f>SUBTOTAL(9,D6:D6)</f>
        <v>0</v>
      </c>
      <c r="E7" s="118">
        <f>SUBTOTAL(9,E6:E6)</f>
        <v>0</v>
      </c>
    </row>
    <row r="8" spans="1:5">
      <c r="A8" s="99" t="s">
        <v>14</v>
      </c>
      <c r="B8" s="93" t="s">
        <v>58</v>
      </c>
      <c r="C8" s="94">
        <v>2010</v>
      </c>
      <c r="D8" s="85">
        <v>5583.91</v>
      </c>
      <c r="E8" s="86">
        <v>301400</v>
      </c>
    </row>
    <row r="9" spans="1:5">
      <c r="A9" s="100"/>
      <c r="B9" s="93" t="s">
        <v>86</v>
      </c>
      <c r="C9" s="94">
        <v>2010</v>
      </c>
      <c r="D9" s="85">
        <v>1522383.8</v>
      </c>
      <c r="E9" s="86">
        <v>11793090</v>
      </c>
    </row>
    <row r="10" spans="1:5" ht="21" customHeight="1">
      <c r="A10" s="95"/>
      <c r="B10" s="96"/>
      <c r="C10" s="96"/>
      <c r="D10" s="105">
        <f>SUBTOTAL(9,D8:D9)</f>
        <v>1527967.71</v>
      </c>
      <c r="E10" s="105">
        <f>SUBTOTAL(9,E8:E9)</f>
        <v>12094490</v>
      </c>
    </row>
    <row r="11" spans="1:5">
      <c r="A11" s="92" t="s">
        <v>16</v>
      </c>
      <c r="B11" s="93" t="s">
        <v>59</v>
      </c>
      <c r="C11" s="94">
        <v>2010</v>
      </c>
      <c r="D11" s="85">
        <v>472934.6</v>
      </c>
      <c r="E11" s="86">
        <v>2295355</v>
      </c>
    </row>
    <row r="12" spans="1:5" ht="21" customHeight="1">
      <c r="A12" s="95"/>
      <c r="B12" s="96"/>
      <c r="C12" s="96"/>
      <c r="D12" s="105">
        <f>SUBTOTAL(9,D11:D11)</f>
        <v>472934.6</v>
      </c>
      <c r="E12" s="118">
        <f>SUBTOTAL(9,E11:E11)</f>
        <v>2295355</v>
      </c>
    </row>
    <row r="13" spans="1:5">
      <c r="A13" s="92" t="s">
        <v>12</v>
      </c>
      <c r="B13" s="93" t="s">
        <v>60</v>
      </c>
      <c r="C13" s="94">
        <v>2010</v>
      </c>
      <c r="D13" s="85">
        <v>58015.57</v>
      </c>
      <c r="E13" s="86">
        <v>280881</v>
      </c>
    </row>
    <row r="14" spans="1:5" ht="21" customHeight="1">
      <c r="A14" s="95"/>
      <c r="B14" s="96"/>
      <c r="C14" s="96"/>
      <c r="D14" s="105">
        <f>SUBTOTAL(9,D13:D13)</f>
        <v>58015.57</v>
      </c>
      <c r="E14" s="118">
        <f>SUBTOTAL(9,E13:E13)</f>
        <v>280881</v>
      </c>
    </row>
    <row r="15" spans="1:5">
      <c r="A15" s="92" t="s">
        <v>15</v>
      </c>
      <c r="B15" s="93" t="s">
        <v>61</v>
      </c>
      <c r="C15" s="94">
        <v>2010</v>
      </c>
      <c r="D15" s="85">
        <v>0</v>
      </c>
      <c r="E15" s="86">
        <v>0</v>
      </c>
    </row>
    <row r="16" spans="1:5" ht="21" customHeight="1">
      <c r="A16" s="95"/>
      <c r="B16" s="96"/>
      <c r="C16" s="96"/>
      <c r="D16" s="105">
        <f>SUBTOTAL(9,D15:D15)</f>
        <v>0</v>
      </c>
      <c r="E16" s="118">
        <f>SUBTOTAL(9,E15:E15)</f>
        <v>0</v>
      </c>
    </row>
    <row r="17" spans="1:5">
      <c r="A17" s="92" t="s">
        <v>13</v>
      </c>
      <c r="B17" s="93" t="s">
        <v>62</v>
      </c>
      <c r="C17" s="94">
        <v>2010</v>
      </c>
      <c r="D17" s="85">
        <v>15398.05</v>
      </c>
      <c r="E17" s="86">
        <v>15400</v>
      </c>
    </row>
    <row r="18" spans="1:5" ht="21" customHeight="1">
      <c r="A18" s="95"/>
      <c r="B18" s="96"/>
      <c r="C18" s="96"/>
      <c r="D18" s="105">
        <f>SUBTOTAL(9,D17:D17)</f>
        <v>15398.05</v>
      </c>
      <c r="E18" s="118">
        <f>SUBTOTAL(9,E17:E17)</f>
        <v>15400</v>
      </c>
    </row>
    <row r="19" spans="1:5">
      <c r="A19" s="92" t="s">
        <v>6</v>
      </c>
      <c r="B19" s="93" t="s">
        <v>63</v>
      </c>
      <c r="C19" s="94">
        <v>2010</v>
      </c>
      <c r="D19" s="85">
        <v>0</v>
      </c>
      <c r="E19" s="86">
        <v>10000</v>
      </c>
    </row>
    <row r="20" spans="1:5" ht="21" customHeight="1">
      <c r="A20" s="95"/>
      <c r="B20" s="96"/>
      <c r="C20" s="96"/>
      <c r="D20" s="101">
        <f>SUBTOTAL(9,D19:D19)</f>
        <v>0</v>
      </c>
      <c r="E20" s="119">
        <f>SUBTOTAL(9,E19:E19)</f>
        <v>10000</v>
      </c>
    </row>
    <row r="21" spans="1:5" ht="21" customHeight="1">
      <c r="A21" s="124"/>
      <c r="B21" s="120"/>
      <c r="C21" s="120"/>
      <c r="D21" s="121">
        <f>SUBTOTAL(9,D2:D20)</f>
        <v>4420103.6500000004</v>
      </c>
      <c r="E21" s="122">
        <f>SUBTOTAL(9,E2:E20)</f>
        <v>19035975</v>
      </c>
    </row>
    <row r="22" spans="1:5">
      <c r="A22" s="102"/>
      <c r="B22" s="102"/>
      <c r="C22" s="102"/>
      <c r="D22" s="102"/>
      <c r="E22" s="102"/>
    </row>
  </sheetData>
  <phoneticPr fontId="12" type="noConversion"/>
  <printOptions horizontalCentered="1"/>
  <pageMargins left="0.248" right="0.22" top="1" bottom="0.76400000000000001" header="0.25" footer="0.22"/>
  <pageSetup orientation="portrait" r:id="rId1"/>
  <headerFooter alignWithMargins="0">
    <oddHeader>&amp;L&amp;"Arial"&amp;10Detail Filter:  Fiscal Year  &gt;=  2010  and  Fund  =  001 &amp;C&amp;B&amp;"Times New Roman"&amp;14Actual Revenues and Original Revenue Budgets&amp;R&amp;"Arial"&amp;8Date: 1/4/2010</oddHeader>
    <oddFooter>&amp;L&amp;C&amp;"Arial"&amp;10Page &amp;P&amp;R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workbookViewId="0">
      <selection sqref="A1:IV65536"/>
    </sheetView>
  </sheetViews>
  <sheetFormatPr defaultColWidth="12.625" defaultRowHeight="12.75"/>
  <cols>
    <col min="1" max="1" width="17.5" style="37" bestFit="1" customWidth="1"/>
    <col min="2" max="2" width="23.375" style="37" bestFit="1" customWidth="1"/>
    <col min="3" max="4" width="13.5" style="37" bestFit="1" customWidth="1"/>
    <col min="5" max="5" width="12.5" style="37" bestFit="1" customWidth="1"/>
    <col min="6" max="16384" width="12.625" style="37"/>
  </cols>
  <sheetData>
    <row r="1" spans="1:6" ht="13.5" customHeight="1">
      <c r="A1" s="47" t="s">
        <v>67</v>
      </c>
      <c r="B1" s="47" t="s">
        <v>39</v>
      </c>
      <c r="C1" s="48" t="s">
        <v>68</v>
      </c>
      <c r="D1" s="48" t="s">
        <v>69</v>
      </c>
      <c r="E1" s="49" t="s">
        <v>70</v>
      </c>
      <c r="F1" s="36"/>
    </row>
    <row r="2" spans="1:6" ht="15" customHeight="1">
      <c r="A2" s="38">
        <v>80</v>
      </c>
      <c r="B2" s="39" t="s">
        <v>7</v>
      </c>
      <c r="C2" s="85">
        <v>44035</v>
      </c>
      <c r="D2" s="85">
        <v>46288</v>
      </c>
      <c r="E2" s="86">
        <v>1783.36</v>
      </c>
      <c r="F2" s="36"/>
    </row>
    <row r="3" spans="1:6" ht="15" customHeight="1">
      <c r="A3" s="38">
        <v>41</v>
      </c>
      <c r="B3" s="39" t="s">
        <v>35</v>
      </c>
      <c r="C3" s="85">
        <v>0</v>
      </c>
      <c r="D3" s="85">
        <v>0</v>
      </c>
      <c r="E3" s="86">
        <v>0</v>
      </c>
      <c r="F3" s="36"/>
    </row>
    <row r="4" spans="1:6" ht="15" customHeight="1">
      <c r="A4" s="38">
        <v>68</v>
      </c>
      <c r="B4" s="39" t="s">
        <v>71</v>
      </c>
      <c r="C4" s="85">
        <v>19347332</v>
      </c>
      <c r="D4" s="85">
        <v>24708727</v>
      </c>
      <c r="E4" s="86">
        <v>2680684.2000000002</v>
      </c>
      <c r="F4" s="36"/>
    </row>
    <row r="5" spans="1:6" ht="15" customHeight="1">
      <c r="A5" s="40">
        <v>88</v>
      </c>
      <c r="B5" s="41" t="s">
        <v>8</v>
      </c>
      <c r="C5" s="85">
        <v>0</v>
      </c>
      <c r="D5" s="85">
        <v>0</v>
      </c>
      <c r="E5" s="86">
        <v>0</v>
      </c>
      <c r="F5" s="36"/>
    </row>
    <row r="6" spans="1:6" ht="12.75" customHeight="1">
      <c r="A6" s="42"/>
      <c r="B6" s="36"/>
      <c r="C6" s="43">
        <f>SUBTOTAL(9,C2:C5)</f>
        <v>19391367</v>
      </c>
      <c r="D6" s="43">
        <f>SUBTOTAL(9,D2:D5)</f>
        <v>24755015</v>
      </c>
      <c r="E6" s="87">
        <f>SUBTOTAL(9,E2:E5)</f>
        <v>2682467.56</v>
      </c>
      <c r="F6" s="36"/>
    </row>
    <row r="7" spans="1:6" ht="14.25" customHeight="1">
      <c r="A7" s="44"/>
      <c r="B7" s="45"/>
      <c r="C7" s="45"/>
      <c r="D7" s="45"/>
      <c r="E7" s="46"/>
      <c r="F7" s="36"/>
    </row>
    <row r="8" spans="1:6" ht="242.25" customHeight="1">
      <c r="A8" s="36"/>
      <c r="B8" s="36"/>
      <c r="C8" s="36"/>
      <c r="D8" s="36"/>
      <c r="E8" s="36"/>
      <c r="F8" s="36"/>
    </row>
  </sheetData>
  <phoneticPr fontId="12" type="noConversion"/>
  <pageMargins left="0.39300000000000002" right="0.39300000000000002" top="1.2150000000000001" bottom="0.93799999999999994" header="0.39300000000000002" footer="0.39300000000000002"/>
  <pageSetup orientation="landscape" horizontalDpi="1200" verticalDpi="1200" r:id="rId1"/>
  <headerFooter alignWithMargins="0">
    <oddHeader>&amp;L&amp;B&amp;"Arial"&amp;10Fund: 1&amp;C&amp;B&amp;"Times New Roman"&amp;14Expenditure / Budget for FY2010&amp;R&amp;"Arial"&amp;8Date: 1/6/2010</oddHeader>
    <oddFooter>&amp;L&amp;C&amp;"Arial"&amp;10Page &amp;P&amp;R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workbookViewId="0">
      <pane ySplit="1" topLeftCell="A14" activePane="bottomLeft" state="frozen"/>
      <selection pane="bottomLeft" activeCell="N28" sqref="N28"/>
    </sheetView>
  </sheetViews>
  <sheetFormatPr defaultRowHeight="15.75"/>
  <cols>
    <col min="1" max="1" width="27.375" bestFit="1" customWidth="1"/>
    <col min="2" max="2" width="26.75" bestFit="1" customWidth="1"/>
    <col min="3" max="3" width="9.125" bestFit="1" customWidth="1"/>
    <col min="4" max="4" width="12.625" bestFit="1" customWidth="1"/>
    <col min="5" max="5" width="19" bestFit="1" customWidth="1"/>
    <col min="6" max="14" width="12" bestFit="1" customWidth="1"/>
    <col min="15" max="17" width="12.875" bestFit="1" customWidth="1"/>
  </cols>
  <sheetData>
    <row r="1" spans="1:17" s="116" customFormat="1" ht="25.5">
      <c r="A1" s="112" t="s">
        <v>39</v>
      </c>
      <c r="B1" s="113" t="s">
        <v>40</v>
      </c>
      <c r="C1" s="113" t="s">
        <v>41</v>
      </c>
      <c r="D1" s="114" t="s">
        <v>5</v>
      </c>
      <c r="E1" s="113" t="s">
        <v>42</v>
      </c>
      <c r="F1" s="113" t="s">
        <v>43</v>
      </c>
      <c r="G1" s="113" t="s">
        <v>44</v>
      </c>
      <c r="H1" s="113" t="s">
        <v>45</v>
      </c>
      <c r="I1" s="113" t="s">
        <v>46</v>
      </c>
      <c r="J1" s="113" t="s">
        <v>47</v>
      </c>
      <c r="K1" s="113" t="s">
        <v>48</v>
      </c>
      <c r="L1" s="113" t="s">
        <v>49</v>
      </c>
      <c r="M1" s="113" t="s">
        <v>50</v>
      </c>
      <c r="N1" s="113" t="s">
        <v>51</v>
      </c>
      <c r="O1" s="113" t="s">
        <v>52</v>
      </c>
      <c r="P1" s="113" t="s">
        <v>53</v>
      </c>
      <c r="Q1" s="115" t="s">
        <v>54</v>
      </c>
    </row>
    <row r="2" spans="1:17">
      <c r="A2" s="92" t="s">
        <v>10</v>
      </c>
      <c r="B2" s="93" t="s">
        <v>55</v>
      </c>
      <c r="C2" s="94">
        <v>2009</v>
      </c>
      <c r="D2" s="103">
        <v>4095648.34</v>
      </c>
      <c r="E2" s="104">
        <v>4070011</v>
      </c>
      <c r="F2" s="85">
        <v>27566.94</v>
      </c>
      <c r="G2" s="85">
        <v>106519.84</v>
      </c>
      <c r="H2" s="85">
        <v>1718037.31</v>
      </c>
      <c r="I2" s="85">
        <v>1479047.94</v>
      </c>
      <c r="J2" s="85">
        <v>557045.23</v>
      </c>
      <c r="K2" s="85">
        <v>66344.55</v>
      </c>
      <c r="L2" s="85">
        <v>31027.83</v>
      </c>
      <c r="M2" s="85">
        <v>30598.45</v>
      </c>
      <c r="N2" s="85">
        <v>30936.81</v>
      </c>
      <c r="O2" s="85">
        <v>23668.31</v>
      </c>
      <c r="P2" s="85">
        <v>8221.18</v>
      </c>
      <c r="Q2" s="86">
        <v>10006.030000000001</v>
      </c>
    </row>
    <row r="3" spans="1:17" s="98" customFormat="1" ht="24.75" customHeight="1">
      <c r="A3" s="95"/>
      <c r="B3" s="96"/>
      <c r="C3" s="96"/>
      <c r="D3" s="105">
        <f>SUBTOTAL(9,D2:D2)</f>
        <v>4095648.34</v>
      </c>
      <c r="E3" s="105">
        <f t="shared" ref="E3:Q3" si="0">SUBTOTAL(9,E2:E2)</f>
        <v>4070011</v>
      </c>
      <c r="F3" s="105">
        <f t="shared" si="0"/>
        <v>27566.94</v>
      </c>
      <c r="G3" s="105">
        <f t="shared" si="0"/>
        <v>106519.84</v>
      </c>
      <c r="H3" s="105">
        <f t="shared" si="0"/>
        <v>1718037.31</v>
      </c>
      <c r="I3" s="105">
        <f t="shared" si="0"/>
        <v>1479047.94</v>
      </c>
      <c r="J3" s="105">
        <f t="shared" si="0"/>
        <v>557045.23</v>
      </c>
      <c r="K3" s="105">
        <f t="shared" si="0"/>
        <v>66344.55</v>
      </c>
      <c r="L3" s="105">
        <f t="shared" si="0"/>
        <v>31027.83</v>
      </c>
      <c r="M3" s="105">
        <f t="shared" si="0"/>
        <v>30598.45</v>
      </c>
      <c r="N3" s="105">
        <f t="shared" si="0"/>
        <v>30936.81</v>
      </c>
      <c r="O3" s="105">
        <f t="shared" si="0"/>
        <v>23668.31</v>
      </c>
      <c r="P3" s="105">
        <f t="shared" si="0"/>
        <v>8221.18</v>
      </c>
      <c r="Q3" s="105">
        <f t="shared" si="0"/>
        <v>10006.030000000001</v>
      </c>
    </row>
    <row r="4" spans="1:17">
      <c r="A4" s="92" t="s">
        <v>0</v>
      </c>
      <c r="B4" s="93" t="s">
        <v>56</v>
      </c>
      <c r="C4" s="94">
        <v>2009</v>
      </c>
      <c r="D4" s="103">
        <v>1476</v>
      </c>
      <c r="E4" s="104">
        <v>3000</v>
      </c>
      <c r="F4" s="85">
        <v>171</v>
      </c>
      <c r="G4" s="85">
        <v>162</v>
      </c>
      <c r="H4" s="85">
        <v>288</v>
      </c>
      <c r="I4" s="85">
        <v>81</v>
      </c>
      <c r="J4" s="85">
        <v>108</v>
      </c>
      <c r="K4" s="85">
        <v>90</v>
      </c>
      <c r="L4" s="85">
        <v>126</v>
      </c>
      <c r="M4" s="85">
        <v>90</v>
      </c>
      <c r="N4" s="85">
        <v>72</v>
      </c>
      <c r="O4" s="85">
        <v>126</v>
      </c>
      <c r="P4" s="85">
        <v>108</v>
      </c>
      <c r="Q4" s="86">
        <v>54</v>
      </c>
    </row>
    <row r="5" spans="1:17" s="98" customFormat="1" ht="24.75" customHeight="1">
      <c r="A5" s="95"/>
      <c r="B5" s="96"/>
      <c r="C5" s="96"/>
      <c r="D5" s="105">
        <f>SUBTOTAL(9,D4:D4)</f>
        <v>1476</v>
      </c>
      <c r="E5" s="105">
        <f t="shared" ref="E5:Q5" si="1">SUBTOTAL(9,E4:E4)</f>
        <v>3000</v>
      </c>
      <c r="F5" s="105">
        <f t="shared" si="1"/>
        <v>171</v>
      </c>
      <c r="G5" s="105">
        <f t="shared" si="1"/>
        <v>162</v>
      </c>
      <c r="H5" s="105">
        <f t="shared" si="1"/>
        <v>288</v>
      </c>
      <c r="I5" s="105">
        <f t="shared" si="1"/>
        <v>81</v>
      </c>
      <c r="J5" s="105">
        <f t="shared" si="1"/>
        <v>108</v>
      </c>
      <c r="K5" s="105">
        <f t="shared" si="1"/>
        <v>90</v>
      </c>
      <c r="L5" s="105">
        <f t="shared" si="1"/>
        <v>126</v>
      </c>
      <c r="M5" s="105">
        <f t="shared" si="1"/>
        <v>90</v>
      </c>
      <c r="N5" s="105">
        <f t="shared" si="1"/>
        <v>72</v>
      </c>
      <c r="O5" s="105">
        <f t="shared" si="1"/>
        <v>126</v>
      </c>
      <c r="P5" s="105">
        <f t="shared" si="1"/>
        <v>108</v>
      </c>
      <c r="Q5" s="105">
        <f t="shared" si="1"/>
        <v>54</v>
      </c>
    </row>
    <row r="6" spans="1:17">
      <c r="A6" s="92" t="s">
        <v>11</v>
      </c>
      <c r="B6" s="93" t="s">
        <v>57</v>
      </c>
      <c r="C6" s="94">
        <v>2009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0</v>
      </c>
      <c r="J6" s="85">
        <v>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6">
        <v>0</v>
      </c>
    </row>
    <row r="7" spans="1:17" s="98" customFormat="1" ht="24.75" customHeight="1">
      <c r="A7" s="95"/>
      <c r="B7" s="96"/>
      <c r="C7" s="96"/>
      <c r="D7" s="105">
        <f>SUBTOTAL(9,D6:D6)</f>
        <v>0</v>
      </c>
      <c r="E7" s="105">
        <f t="shared" ref="E7:Q7" si="2">SUBTOTAL(9,E6:E6)</f>
        <v>0</v>
      </c>
      <c r="F7" s="105">
        <f t="shared" si="2"/>
        <v>0</v>
      </c>
      <c r="G7" s="105">
        <f t="shared" si="2"/>
        <v>0</v>
      </c>
      <c r="H7" s="105">
        <f t="shared" si="2"/>
        <v>0</v>
      </c>
      <c r="I7" s="105">
        <f t="shared" si="2"/>
        <v>0</v>
      </c>
      <c r="J7" s="105">
        <f t="shared" si="2"/>
        <v>0</v>
      </c>
      <c r="K7" s="105">
        <f t="shared" si="2"/>
        <v>0</v>
      </c>
      <c r="L7" s="105">
        <f t="shared" si="2"/>
        <v>0</v>
      </c>
      <c r="M7" s="105">
        <f t="shared" si="2"/>
        <v>0</v>
      </c>
      <c r="N7" s="105">
        <f t="shared" si="2"/>
        <v>0</v>
      </c>
      <c r="O7" s="105">
        <f t="shared" si="2"/>
        <v>0</v>
      </c>
      <c r="P7" s="105">
        <f t="shared" si="2"/>
        <v>0</v>
      </c>
      <c r="Q7" s="105">
        <f t="shared" si="2"/>
        <v>0</v>
      </c>
    </row>
    <row r="8" spans="1:17">
      <c r="A8" s="99" t="s">
        <v>14</v>
      </c>
      <c r="B8" s="93" t="s">
        <v>58</v>
      </c>
      <c r="C8" s="94">
        <v>2009</v>
      </c>
      <c r="D8" s="85">
        <v>354485.65</v>
      </c>
      <c r="E8" s="85">
        <v>231400</v>
      </c>
      <c r="F8" s="85">
        <v>14470.02</v>
      </c>
      <c r="G8" s="85">
        <v>51805.24</v>
      </c>
      <c r="H8" s="85">
        <v>1509.82</v>
      </c>
      <c r="I8" s="85">
        <v>26692.5</v>
      </c>
      <c r="J8" s="85">
        <v>178.48</v>
      </c>
      <c r="K8" s="85">
        <v>1019.21</v>
      </c>
      <c r="L8" s="85">
        <v>2464.75</v>
      </c>
      <c r="M8" s="85">
        <v>4320.1099999999997</v>
      </c>
      <c r="N8" s="85">
        <v>159783.47</v>
      </c>
      <c r="O8" s="85">
        <v>6842.55</v>
      </c>
      <c r="P8" s="85">
        <v>51505.33</v>
      </c>
      <c r="Q8" s="86">
        <v>33894.17</v>
      </c>
    </row>
    <row r="9" spans="1:17">
      <c r="A9" s="100"/>
      <c r="B9" s="93" t="s">
        <v>86</v>
      </c>
      <c r="C9" s="94">
        <v>2009</v>
      </c>
      <c r="D9" s="85">
        <v>12883347.74</v>
      </c>
      <c r="E9" s="85">
        <v>11575000</v>
      </c>
      <c r="F9" s="85">
        <v>530449.91</v>
      </c>
      <c r="G9" s="85">
        <v>382890.2</v>
      </c>
      <c r="H9" s="85">
        <v>463288.01</v>
      </c>
      <c r="I9" s="85">
        <v>2530284.1800000002</v>
      </c>
      <c r="J9" s="85">
        <v>2009922.96</v>
      </c>
      <c r="K9" s="85">
        <v>722790.25</v>
      </c>
      <c r="L9" s="85">
        <v>902081.95</v>
      </c>
      <c r="M9" s="85">
        <v>564944.5</v>
      </c>
      <c r="N9" s="85">
        <v>571158.30000000005</v>
      </c>
      <c r="O9" s="85">
        <v>680724.7</v>
      </c>
      <c r="P9" s="85">
        <v>2805965.71</v>
      </c>
      <c r="Q9" s="86">
        <v>655522.06999999995</v>
      </c>
    </row>
    <row r="10" spans="1:17" s="98" customFormat="1" ht="24.75" customHeight="1">
      <c r="A10" s="95"/>
      <c r="B10" s="96"/>
      <c r="C10" s="96"/>
      <c r="D10" s="105">
        <f>SUBTOTAL(9,D8:D9)</f>
        <v>13237833.390000001</v>
      </c>
      <c r="E10" s="105">
        <f t="shared" ref="E10:Q10" si="3">SUBTOTAL(9,E8:E9)</f>
        <v>11806400</v>
      </c>
      <c r="F10" s="105">
        <f t="shared" si="3"/>
        <v>544919.93000000005</v>
      </c>
      <c r="G10" s="105">
        <f t="shared" si="3"/>
        <v>434695.44</v>
      </c>
      <c r="H10" s="105">
        <f t="shared" si="3"/>
        <v>464797.83</v>
      </c>
      <c r="I10" s="105">
        <f t="shared" si="3"/>
        <v>2556976.6800000002</v>
      </c>
      <c r="J10" s="105">
        <f t="shared" si="3"/>
        <v>2010101.44</v>
      </c>
      <c r="K10" s="105">
        <f t="shared" si="3"/>
        <v>723809.46</v>
      </c>
      <c r="L10" s="105">
        <f t="shared" si="3"/>
        <v>904546.7</v>
      </c>
      <c r="M10" s="105">
        <f t="shared" si="3"/>
        <v>569264.61</v>
      </c>
      <c r="N10" s="105">
        <f t="shared" si="3"/>
        <v>730941.77</v>
      </c>
      <c r="O10" s="105">
        <f t="shared" si="3"/>
        <v>687567.25</v>
      </c>
      <c r="P10" s="105">
        <f t="shared" si="3"/>
        <v>2857471.04</v>
      </c>
      <c r="Q10" s="105">
        <f t="shared" si="3"/>
        <v>689416.24</v>
      </c>
    </row>
    <row r="11" spans="1:17">
      <c r="A11" s="92" t="s">
        <v>16</v>
      </c>
      <c r="B11" s="93" t="s">
        <v>59</v>
      </c>
      <c r="C11" s="94">
        <v>2009</v>
      </c>
      <c r="D11" s="85">
        <v>2213669.08</v>
      </c>
      <c r="E11" s="85">
        <v>1904500</v>
      </c>
      <c r="F11" s="85">
        <v>151917.07</v>
      </c>
      <c r="G11" s="85">
        <v>177762.37</v>
      </c>
      <c r="H11" s="85">
        <v>181625.54</v>
      </c>
      <c r="I11" s="85">
        <v>158019.78</v>
      </c>
      <c r="J11" s="85">
        <v>197921.21</v>
      </c>
      <c r="K11" s="85">
        <v>198114.8</v>
      </c>
      <c r="L11" s="85">
        <v>190337.86</v>
      </c>
      <c r="M11" s="85">
        <v>205420.89</v>
      </c>
      <c r="N11" s="85">
        <v>156628.65</v>
      </c>
      <c r="O11" s="85">
        <v>189293.41</v>
      </c>
      <c r="P11" s="85">
        <v>134740.84</v>
      </c>
      <c r="Q11" s="86">
        <v>248848.16</v>
      </c>
    </row>
    <row r="12" spans="1:17" s="98" customFormat="1" ht="24.75" customHeight="1">
      <c r="A12" s="95"/>
      <c r="B12" s="96"/>
      <c r="C12" s="96"/>
      <c r="D12" s="105">
        <f>SUBTOTAL(9,D11:D11)</f>
        <v>2213669.08</v>
      </c>
      <c r="E12" s="105">
        <f t="shared" ref="E12:Q12" si="4">SUBTOTAL(9,E11:E11)</f>
        <v>1904500</v>
      </c>
      <c r="F12" s="105">
        <f t="shared" si="4"/>
        <v>151917.07</v>
      </c>
      <c r="G12" s="105">
        <f t="shared" si="4"/>
        <v>177762.37</v>
      </c>
      <c r="H12" s="105">
        <f t="shared" si="4"/>
        <v>181625.54</v>
      </c>
      <c r="I12" s="105">
        <f t="shared" si="4"/>
        <v>158019.78</v>
      </c>
      <c r="J12" s="105">
        <f t="shared" si="4"/>
        <v>197921.21</v>
      </c>
      <c r="K12" s="105">
        <f t="shared" si="4"/>
        <v>198114.8</v>
      </c>
      <c r="L12" s="105">
        <f t="shared" si="4"/>
        <v>190337.86</v>
      </c>
      <c r="M12" s="105">
        <f t="shared" si="4"/>
        <v>205420.89</v>
      </c>
      <c r="N12" s="105">
        <f t="shared" si="4"/>
        <v>156628.65</v>
      </c>
      <c r="O12" s="105">
        <f t="shared" si="4"/>
        <v>189293.41</v>
      </c>
      <c r="P12" s="105">
        <f t="shared" si="4"/>
        <v>134740.84</v>
      </c>
      <c r="Q12" s="105">
        <f t="shared" si="4"/>
        <v>248848.16</v>
      </c>
    </row>
    <row r="13" spans="1:17">
      <c r="A13" s="92" t="s">
        <v>12</v>
      </c>
      <c r="B13" s="93" t="s">
        <v>60</v>
      </c>
      <c r="C13" s="94">
        <v>2009</v>
      </c>
      <c r="D13" s="85">
        <v>284617.61</v>
      </c>
      <c r="E13" s="85">
        <v>305000</v>
      </c>
      <c r="F13" s="85">
        <v>26017.91</v>
      </c>
      <c r="G13" s="85">
        <v>23197.61</v>
      </c>
      <c r="H13" s="85">
        <v>23831.31</v>
      </c>
      <c r="I13" s="85">
        <v>23648.62</v>
      </c>
      <c r="J13" s="85">
        <v>22051.81</v>
      </c>
      <c r="K13" s="85">
        <v>23909.16</v>
      </c>
      <c r="L13" s="85">
        <v>23288.3</v>
      </c>
      <c r="M13" s="85">
        <v>23754.46</v>
      </c>
      <c r="N13" s="85">
        <v>21718.18</v>
      </c>
      <c r="O13" s="85">
        <v>21779.43</v>
      </c>
      <c r="P13" s="85">
        <v>22250.29</v>
      </c>
      <c r="Q13" s="86">
        <v>20092.62</v>
      </c>
    </row>
    <row r="14" spans="1:17" s="98" customFormat="1" ht="24.75" customHeight="1">
      <c r="A14" s="95"/>
      <c r="B14" s="96"/>
      <c r="C14" s="96"/>
      <c r="D14" s="105">
        <f>SUBTOTAL(9,D13:D13)</f>
        <v>284617.61</v>
      </c>
      <c r="E14" s="105">
        <f t="shared" ref="E14:Q14" si="5">SUBTOTAL(9,E13:E13)</f>
        <v>305000</v>
      </c>
      <c r="F14" s="105">
        <f t="shared" si="5"/>
        <v>26017.91</v>
      </c>
      <c r="G14" s="105">
        <f t="shared" si="5"/>
        <v>23197.61</v>
      </c>
      <c r="H14" s="105">
        <f t="shared" si="5"/>
        <v>23831.31</v>
      </c>
      <c r="I14" s="105">
        <f t="shared" si="5"/>
        <v>23648.62</v>
      </c>
      <c r="J14" s="105">
        <f t="shared" si="5"/>
        <v>22051.81</v>
      </c>
      <c r="K14" s="105">
        <f t="shared" si="5"/>
        <v>23909.16</v>
      </c>
      <c r="L14" s="105">
        <f t="shared" si="5"/>
        <v>23288.3</v>
      </c>
      <c r="M14" s="105">
        <f t="shared" si="5"/>
        <v>23754.46</v>
      </c>
      <c r="N14" s="105">
        <f t="shared" si="5"/>
        <v>21718.18</v>
      </c>
      <c r="O14" s="105">
        <f t="shared" si="5"/>
        <v>21779.43</v>
      </c>
      <c r="P14" s="105">
        <f t="shared" si="5"/>
        <v>22250.29</v>
      </c>
      <c r="Q14" s="105">
        <f t="shared" si="5"/>
        <v>20092.62</v>
      </c>
    </row>
    <row r="15" spans="1:17">
      <c r="A15" s="92" t="s">
        <v>15</v>
      </c>
      <c r="B15" s="93" t="s">
        <v>61</v>
      </c>
      <c r="C15" s="94">
        <v>2009</v>
      </c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  <c r="O15" s="85">
        <v>0</v>
      </c>
      <c r="P15" s="85">
        <v>0</v>
      </c>
      <c r="Q15" s="86">
        <v>0</v>
      </c>
    </row>
    <row r="16" spans="1:17" s="98" customFormat="1" ht="24.75" customHeight="1">
      <c r="A16" s="95"/>
      <c r="B16" s="96"/>
      <c r="C16" s="96"/>
      <c r="D16" s="105">
        <f>SUBTOTAL(9,D15:D15)</f>
        <v>0</v>
      </c>
      <c r="E16" s="105">
        <f t="shared" ref="E16:Q16" si="6">SUBTOTAL(9,E15:E15)</f>
        <v>0</v>
      </c>
      <c r="F16" s="105">
        <f t="shared" si="6"/>
        <v>0</v>
      </c>
      <c r="G16" s="105">
        <f t="shared" si="6"/>
        <v>0</v>
      </c>
      <c r="H16" s="105">
        <f t="shared" si="6"/>
        <v>0</v>
      </c>
      <c r="I16" s="105">
        <f t="shared" si="6"/>
        <v>0</v>
      </c>
      <c r="J16" s="105">
        <f t="shared" si="6"/>
        <v>0</v>
      </c>
      <c r="K16" s="105">
        <f t="shared" si="6"/>
        <v>0</v>
      </c>
      <c r="L16" s="105">
        <f t="shared" si="6"/>
        <v>0</v>
      </c>
      <c r="M16" s="105">
        <f t="shared" si="6"/>
        <v>0</v>
      </c>
      <c r="N16" s="105">
        <f t="shared" si="6"/>
        <v>0</v>
      </c>
      <c r="O16" s="105">
        <f t="shared" si="6"/>
        <v>0</v>
      </c>
      <c r="P16" s="105">
        <f t="shared" si="6"/>
        <v>0</v>
      </c>
      <c r="Q16" s="105">
        <f t="shared" si="6"/>
        <v>0</v>
      </c>
    </row>
    <row r="17" spans="1:17">
      <c r="A17" s="92" t="s">
        <v>13</v>
      </c>
      <c r="B17" s="93" t="s">
        <v>62</v>
      </c>
      <c r="C17" s="94">
        <v>2009</v>
      </c>
      <c r="D17" s="85">
        <v>4762.5200000000004</v>
      </c>
      <c r="E17" s="85">
        <v>15000</v>
      </c>
      <c r="F17" s="85">
        <v>1288.07</v>
      </c>
      <c r="G17" s="85">
        <v>402.7</v>
      </c>
      <c r="H17" s="85">
        <v>126.81</v>
      </c>
      <c r="I17" s="85">
        <v>27.2</v>
      </c>
      <c r="J17" s="85">
        <v>61.9</v>
      </c>
      <c r="K17" s="85">
        <v>175.74</v>
      </c>
      <c r="L17" s="85">
        <v>451</v>
      </c>
      <c r="M17" s="85">
        <v>0</v>
      </c>
      <c r="N17" s="85">
        <v>284.33999999999997</v>
      </c>
      <c r="O17" s="85">
        <v>306.89999999999998</v>
      </c>
      <c r="P17" s="85">
        <v>692.3</v>
      </c>
      <c r="Q17" s="86">
        <v>945.47</v>
      </c>
    </row>
    <row r="18" spans="1:17" s="98" customFormat="1" ht="24.75" customHeight="1">
      <c r="A18" s="95"/>
      <c r="B18" s="96"/>
      <c r="C18" s="96"/>
      <c r="D18" s="105">
        <f>SUBTOTAL(9,D17:D17)</f>
        <v>4762.5200000000004</v>
      </c>
      <c r="E18" s="105">
        <f t="shared" ref="E18:Q18" si="7">SUBTOTAL(9,E17:E17)</f>
        <v>15000</v>
      </c>
      <c r="F18" s="105">
        <f t="shared" si="7"/>
        <v>1288.07</v>
      </c>
      <c r="G18" s="105">
        <f t="shared" si="7"/>
        <v>402.7</v>
      </c>
      <c r="H18" s="105">
        <f t="shared" si="7"/>
        <v>126.81</v>
      </c>
      <c r="I18" s="105">
        <f t="shared" si="7"/>
        <v>27.2</v>
      </c>
      <c r="J18" s="105">
        <f t="shared" si="7"/>
        <v>61.9</v>
      </c>
      <c r="K18" s="105">
        <f t="shared" si="7"/>
        <v>175.74</v>
      </c>
      <c r="L18" s="105">
        <f t="shared" si="7"/>
        <v>451</v>
      </c>
      <c r="M18" s="105">
        <f t="shared" si="7"/>
        <v>0</v>
      </c>
      <c r="N18" s="105">
        <f t="shared" si="7"/>
        <v>284.33999999999997</v>
      </c>
      <c r="O18" s="105">
        <f t="shared" si="7"/>
        <v>306.89999999999998</v>
      </c>
      <c r="P18" s="105">
        <f t="shared" si="7"/>
        <v>692.3</v>
      </c>
      <c r="Q18" s="105">
        <f t="shared" si="7"/>
        <v>945.47</v>
      </c>
    </row>
    <row r="19" spans="1:17">
      <c r="A19" s="92" t="s">
        <v>6</v>
      </c>
      <c r="B19" s="93" t="s">
        <v>63</v>
      </c>
      <c r="C19" s="94">
        <v>2009</v>
      </c>
      <c r="D19" s="85">
        <v>61075.72</v>
      </c>
      <c r="E19" s="85">
        <v>102000</v>
      </c>
      <c r="F19" s="85">
        <v>0</v>
      </c>
      <c r="G19" s="85">
        <v>0</v>
      </c>
      <c r="H19" s="85">
        <v>0</v>
      </c>
      <c r="I19" s="85">
        <v>0</v>
      </c>
      <c r="J19" s="85">
        <v>12206.3</v>
      </c>
      <c r="K19" s="85">
        <v>0</v>
      </c>
      <c r="L19" s="85">
        <v>16000</v>
      </c>
      <c r="M19" s="85">
        <v>0</v>
      </c>
      <c r="N19" s="85">
        <v>2714.42</v>
      </c>
      <c r="O19" s="85">
        <v>0</v>
      </c>
      <c r="P19" s="85">
        <v>0</v>
      </c>
      <c r="Q19" s="86">
        <v>30155</v>
      </c>
    </row>
    <row r="20" spans="1:17" s="98" customFormat="1" ht="24.75" customHeight="1">
      <c r="A20" s="95"/>
      <c r="B20" s="96"/>
      <c r="C20" s="96"/>
      <c r="D20" s="101">
        <f>SUBTOTAL(9,D19:D19)</f>
        <v>61075.72</v>
      </c>
      <c r="E20" s="101">
        <f t="shared" ref="E20:Q20" si="8">SUBTOTAL(9,E19:E19)</f>
        <v>102000</v>
      </c>
      <c r="F20" s="101">
        <f t="shared" si="8"/>
        <v>0</v>
      </c>
      <c r="G20" s="101">
        <f t="shared" si="8"/>
        <v>0</v>
      </c>
      <c r="H20" s="101">
        <f t="shared" si="8"/>
        <v>0</v>
      </c>
      <c r="I20" s="101">
        <f t="shared" si="8"/>
        <v>0</v>
      </c>
      <c r="J20" s="101">
        <f t="shared" si="8"/>
        <v>12206.3</v>
      </c>
      <c r="K20" s="101">
        <f t="shared" si="8"/>
        <v>0</v>
      </c>
      <c r="L20" s="101">
        <f t="shared" si="8"/>
        <v>16000</v>
      </c>
      <c r="M20" s="101">
        <f t="shared" si="8"/>
        <v>0</v>
      </c>
      <c r="N20" s="101">
        <f t="shared" si="8"/>
        <v>2714.42</v>
      </c>
      <c r="O20" s="101">
        <f t="shared" si="8"/>
        <v>0</v>
      </c>
      <c r="P20" s="101">
        <f t="shared" si="8"/>
        <v>0</v>
      </c>
      <c r="Q20" s="101">
        <f t="shared" si="8"/>
        <v>30155</v>
      </c>
    </row>
    <row r="21" spans="1:17" s="109" customFormat="1" ht="24.75" customHeight="1">
      <c r="A21" s="106"/>
      <c r="B21" s="107"/>
      <c r="C21" s="107"/>
      <c r="D21" s="108">
        <f>SUBTOTAL(9,D2:D20)</f>
        <v>19899082.66</v>
      </c>
      <c r="E21" s="108">
        <f t="shared" ref="E21:Q21" si="9">SUBTOTAL(9,E2:E20)</f>
        <v>18205911</v>
      </c>
      <c r="F21" s="108">
        <f t="shared" si="9"/>
        <v>751880.91999999993</v>
      </c>
      <c r="G21" s="108">
        <f t="shared" si="9"/>
        <v>742739.96</v>
      </c>
      <c r="H21" s="108">
        <f t="shared" si="9"/>
        <v>2388706.8000000003</v>
      </c>
      <c r="I21" s="108">
        <f t="shared" si="9"/>
        <v>4217801.22</v>
      </c>
      <c r="J21" s="108">
        <f t="shared" si="9"/>
        <v>2799495.8899999997</v>
      </c>
      <c r="K21" s="108">
        <f t="shared" si="9"/>
        <v>1012443.7100000001</v>
      </c>
      <c r="L21" s="108">
        <f t="shared" si="9"/>
        <v>1165777.69</v>
      </c>
      <c r="M21" s="108">
        <f t="shared" si="9"/>
        <v>829128.41</v>
      </c>
      <c r="N21" s="108">
        <f t="shared" si="9"/>
        <v>943296.17000000016</v>
      </c>
      <c r="O21" s="108">
        <f t="shared" si="9"/>
        <v>922741.3</v>
      </c>
      <c r="P21" s="108">
        <f t="shared" si="9"/>
        <v>3023483.6499999994</v>
      </c>
      <c r="Q21" s="108">
        <f t="shared" si="9"/>
        <v>999517.5199999999</v>
      </c>
    </row>
    <row r="22" spans="1:17">
      <c r="A22" s="110"/>
      <c r="B22" s="102"/>
      <c r="C22" s="111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</row>
    <row r="23" spans="1:17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</row>
  </sheetData>
  <phoneticPr fontId="10" type="noConversion"/>
  <pageMargins left="0.248" right="0.22" top="1.07" bottom="0.76400000000000001" header="0.248" footer="0.22"/>
  <pageSetup orientation="landscape" horizontalDpi="1200" verticalDpi="1200" r:id="rId1"/>
  <headerFooter alignWithMargins="0">
    <oddHeader>&amp;L&amp;"Arial"&amp;10Detail Filter:  Fiscal Year  =  2009  and  Fund  =  001 &amp;C&amp;B&amp;"Times New Roman"&amp;14Collin County Actual Revenues and Original Revenue Budgets (Monthly Detail)&amp;R&amp;"Arial"&amp;8Date: 1/4/2010</oddHeader>
    <oddFooter>&amp;L&amp;C&amp;"Arial"&amp;10Page &amp;P&amp;R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showGridLines="0" topLeftCell="F1" workbookViewId="0">
      <selection activeCell="A4" sqref="A4:IV8"/>
    </sheetView>
  </sheetViews>
  <sheetFormatPr defaultColWidth="8" defaultRowHeight="12.75"/>
  <cols>
    <col min="1" max="1" width="7.25" style="54" bestFit="1" customWidth="1"/>
    <col min="2" max="2" width="23.375" style="54" bestFit="1" customWidth="1"/>
    <col min="3" max="5" width="13.5" style="54" bestFit="1" customWidth="1"/>
    <col min="6" max="7" width="11.625" style="54" bestFit="1" customWidth="1"/>
    <col min="8" max="9" width="12.5" style="54" bestFit="1" customWidth="1"/>
    <col min="10" max="10" width="11.625" style="54" bestFit="1" customWidth="1"/>
    <col min="11" max="11" width="12.5" style="54" bestFit="1" customWidth="1"/>
    <col min="12" max="14" width="11.625" style="54" bestFit="1" customWidth="1"/>
    <col min="15" max="15" width="12.5" style="54" bestFit="1" customWidth="1"/>
    <col min="16" max="16" width="12.125" style="54" bestFit="1" customWidth="1"/>
    <col min="17" max="17" width="12.5" style="54" bestFit="1" customWidth="1"/>
    <col min="18" max="18" width="13.5" style="54" bestFit="1" customWidth="1"/>
    <col min="19" max="19" width="11.625" style="54" bestFit="1" customWidth="1"/>
    <col min="20" max="16384" width="8" style="54"/>
  </cols>
  <sheetData>
    <row r="1" spans="1:19" ht="38.25">
      <c r="A1" s="47" t="s">
        <v>67</v>
      </c>
      <c r="B1" s="47" t="s">
        <v>39</v>
      </c>
      <c r="C1" s="47" t="s">
        <v>68</v>
      </c>
      <c r="D1" s="47" t="s">
        <v>69</v>
      </c>
      <c r="E1" s="47" t="s">
        <v>70</v>
      </c>
      <c r="F1" s="47" t="s">
        <v>43</v>
      </c>
      <c r="G1" s="47" t="s">
        <v>44</v>
      </c>
      <c r="H1" s="47" t="s">
        <v>45</v>
      </c>
      <c r="I1" s="47" t="s">
        <v>46</v>
      </c>
      <c r="J1" s="47" t="s">
        <v>47</v>
      </c>
      <c r="K1" s="47" t="s">
        <v>48</v>
      </c>
      <c r="L1" s="47" t="s">
        <v>49</v>
      </c>
      <c r="M1" s="47" t="s">
        <v>50</v>
      </c>
      <c r="N1" s="47" t="s">
        <v>51</v>
      </c>
      <c r="O1" s="47" t="s">
        <v>52</v>
      </c>
      <c r="P1" s="47" t="s">
        <v>53</v>
      </c>
      <c r="Q1" s="47" t="s">
        <v>54</v>
      </c>
    </row>
    <row r="2" spans="1:19">
      <c r="A2" s="55">
        <v>80</v>
      </c>
      <c r="B2" s="56" t="s">
        <v>7</v>
      </c>
      <c r="C2" s="85">
        <v>44035</v>
      </c>
      <c r="D2" s="85">
        <v>217718</v>
      </c>
      <c r="E2" s="85">
        <v>48624.89</v>
      </c>
      <c r="F2" s="85">
        <v>0</v>
      </c>
      <c r="G2" s="85">
        <v>4489.96</v>
      </c>
      <c r="H2" s="85">
        <v>9879.32</v>
      </c>
      <c r="I2" s="85">
        <v>5088</v>
      </c>
      <c r="J2" s="85">
        <v>6360</v>
      </c>
      <c r="K2" s="85">
        <v>8396.4599999999991</v>
      </c>
      <c r="L2" s="85">
        <v>0</v>
      </c>
      <c r="M2" s="85">
        <v>0</v>
      </c>
      <c r="N2" s="85">
        <v>0</v>
      </c>
      <c r="O2" s="85">
        <v>0</v>
      </c>
      <c r="P2" s="85">
        <v>2144.58</v>
      </c>
      <c r="Q2" s="86">
        <v>6992.34</v>
      </c>
      <c r="R2" s="63">
        <f>SUM(F2:Q2)</f>
        <v>43350.66</v>
      </c>
      <c r="S2" s="63">
        <f>E2-R2</f>
        <v>5274.2299999999959</v>
      </c>
    </row>
    <row r="3" spans="1:19">
      <c r="A3" s="55">
        <v>41</v>
      </c>
      <c r="B3" s="56" t="s">
        <v>35</v>
      </c>
      <c r="C3" s="85">
        <v>0</v>
      </c>
      <c r="D3" s="85">
        <v>0</v>
      </c>
      <c r="E3" s="85">
        <v>0</v>
      </c>
      <c r="F3" s="85">
        <v>0</v>
      </c>
      <c r="G3" s="85">
        <v>0</v>
      </c>
      <c r="H3" s="85">
        <v>0</v>
      </c>
      <c r="I3" s="85">
        <v>0</v>
      </c>
      <c r="J3" s="85">
        <v>0</v>
      </c>
      <c r="K3" s="85">
        <v>0</v>
      </c>
      <c r="L3" s="85">
        <v>0</v>
      </c>
      <c r="M3" s="85">
        <v>0</v>
      </c>
      <c r="N3" s="85">
        <v>0</v>
      </c>
      <c r="O3" s="85">
        <v>0</v>
      </c>
      <c r="P3" s="85">
        <v>0</v>
      </c>
      <c r="Q3" s="86">
        <v>0</v>
      </c>
      <c r="R3" s="63">
        <f>SUM(F3:Q3)</f>
        <v>0</v>
      </c>
      <c r="S3" s="63">
        <f>E3-R3</f>
        <v>0</v>
      </c>
    </row>
    <row r="4" spans="1:19">
      <c r="A4" s="55">
        <v>68</v>
      </c>
      <c r="B4" s="56" t="s">
        <v>71</v>
      </c>
      <c r="C4" s="85">
        <v>19861346</v>
      </c>
      <c r="D4" s="85">
        <v>23302893</v>
      </c>
      <c r="E4" s="85">
        <v>15919396.76</v>
      </c>
      <c r="F4" s="85">
        <v>736671.89</v>
      </c>
      <c r="G4" s="85">
        <v>1572557.66</v>
      </c>
      <c r="H4" s="85">
        <v>1571227.13</v>
      </c>
      <c r="I4" s="85">
        <v>425606.55</v>
      </c>
      <c r="J4" s="85">
        <v>607191.80000000005</v>
      </c>
      <c r="K4" s="85">
        <v>1959746.11</v>
      </c>
      <c r="L4" s="85">
        <v>605367.98</v>
      </c>
      <c r="M4" s="85">
        <v>1529639.53</v>
      </c>
      <c r="N4" s="85">
        <v>1219771.08</v>
      </c>
      <c r="O4" s="85">
        <v>1967565.78</v>
      </c>
      <c r="P4" s="85">
        <v>1243116.6000000001</v>
      </c>
      <c r="Q4" s="86">
        <v>1912365.49</v>
      </c>
      <c r="R4" s="63">
        <f>SUM(F4:Q4)</f>
        <v>15350827.599999998</v>
      </c>
      <c r="S4" s="63">
        <f>E4-R4</f>
        <v>568569.16000000201</v>
      </c>
    </row>
    <row r="5" spans="1:19">
      <c r="A5" s="57">
        <v>88</v>
      </c>
      <c r="B5" s="58" t="s">
        <v>8</v>
      </c>
      <c r="C5" s="85">
        <v>0</v>
      </c>
      <c r="D5" s="85">
        <v>433900</v>
      </c>
      <c r="E5" s="85">
        <v>433900</v>
      </c>
      <c r="F5" s="85">
        <v>0</v>
      </c>
      <c r="G5" s="85">
        <v>0</v>
      </c>
      <c r="H5" s="85">
        <v>0</v>
      </c>
      <c r="I5" s="85">
        <v>0</v>
      </c>
      <c r="J5" s="85">
        <v>0</v>
      </c>
      <c r="K5" s="85">
        <v>0</v>
      </c>
      <c r="L5" s="85">
        <v>0</v>
      </c>
      <c r="M5" s="85">
        <v>0</v>
      </c>
      <c r="N5" s="85">
        <v>433900</v>
      </c>
      <c r="O5" s="85">
        <v>0</v>
      </c>
      <c r="P5" s="85">
        <v>0</v>
      </c>
      <c r="Q5" s="86">
        <v>0</v>
      </c>
      <c r="R5" s="63">
        <f>SUM(F5:Q5)</f>
        <v>433900</v>
      </c>
      <c r="S5" s="63">
        <f>E5-R5</f>
        <v>0</v>
      </c>
    </row>
    <row r="6" spans="1:19">
      <c r="A6" s="59"/>
      <c r="B6" s="60"/>
      <c r="C6" s="62">
        <f>SUBTOTAL(9,C2:C5)</f>
        <v>19905381</v>
      </c>
      <c r="D6" s="62">
        <f t="shared" ref="D6:Q6" si="0">SUBTOTAL(9,D2:D5)</f>
        <v>23954511</v>
      </c>
      <c r="E6" s="62">
        <f t="shared" si="0"/>
        <v>16401921.65</v>
      </c>
      <c r="F6" s="62">
        <f t="shared" si="0"/>
        <v>736671.89</v>
      </c>
      <c r="G6" s="62">
        <f t="shared" si="0"/>
        <v>1577047.6199999999</v>
      </c>
      <c r="H6" s="62">
        <f t="shared" si="0"/>
        <v>1581106.45</v>
      </c>
      <c r="I6" s="62">
        <f t="shared" si="0"/>
        <v>430694.55</v>
      </c>
      <c r="J6" s="62">
        <f t="shared" si="0"/>
        <v>613551.80000000005</v>
      </c>
      <c r="K6" s="62">
        <f t="shared" si="0"/>
        <v>1968142.57</v>
      </c>
      <c r="L6" s="62">
        <f t="shared" si="0"/>
        <v>605367.98</v>
      </c>
      <c r="M6" s="62">
        <f t="shared" si="0"/>
        <v>1529639.53</v>
      </c>
      <c r="N6" s="62">
        <f t="shared" si="0"/>
        <v>1653671.08</v>
      </c>
      <c r="O6" s="62">
        <f t="shared" si="0"/>
        <v>1967565.78</v>
      </c>
      <c r="P6" s="62">
        <f t="shared" si="0"/>
        <v>1245261.1800000002</v>
      </c>
      <c r="Q6" s="62">
        <f t="shared" si="0"/>
        <v>1919357.83</v>
      </c>
      <c r="R6" s="62">
        <f>SUBTOTAL(9,R2:R5)</f>
        <v>15828078.259999998</v>
      </c>
      <c r="S6" s="62">
        <f>SUBTOTAL(9,S2:S5)</f>
        <v>573843.39000000199</v>
      </c>
    </row>
    <row r="7" spans="1:19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</row>
  </sheetData>
  <phoneticPr fontId="12" type="noConversion"/>
  <pageMargins left="0.39300000000000002" right="0.39300000000000002" top="1.2150000000000001" bottom="0.93799999999999994" header="0.39300000000000002" footer="0.39300000000000002"/>
  <pageSetup orientation="landscape" horizontalDpi="1200" verticalDpi="1200" r:id="rId1"/>
  <headerFooter alignWithMargins="0">
    <oddHeader>&amp;L&amp;B&amp;"Arial"&amp;10Fund: 1&amp;C&amp;B&amp;"Times New Roman"&amp;14Expenditure / Budget for FY2009&amp;R&amp;"Arial"&amp;8Date: 1/6/2010</oddHeader>
    <oddFooter>&amp;L&amp;C&amp;"Arial"&amp;10Page &amp;P&amp;R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showGridLines="0" workbookViewId="0">
      <pane ySplit="1" topLeftCell="A2" activePane="bottomLeft" state="frozen"/>
      <selection pane="bottomLeft" activeCell="F38" sqref="F38"/>
    </sheetView>
  </sheetViews>
  <sheetFormatPr defaultRowHeight="15.75"/>
  <cols>
    <col min="1" max="1" width="27.375" bestFit="1" customWidth="1"/>
    <col min="2" max="2" width="26.75" bestFit="1" customWidth="1"/>
    <col min="3" max="3" width="9.125" bestFit="1" customWidth="1"/>
    <col min="4" max="4" width="12.625" bestFit="1" customWidth="1"/>
    <col min="5" max="5" width="19" bestFit="1" customWidth="1"/>
    <col min="6" max="14" width="12" bestFit="1" customWidth="1"/>
    <col min="15" max="17" width="12.875" bestFit="1" customWidth="1"/>
  </cols>
  <sheetData>
    <row r="1" spans="1:17" s="91" customFormat="1" ht="25.5">
      <c r="A1" s="88" t="s">
        <v>39</v>
      </c>
      <c r="B1" s="89" t="s">
        <v>40</v>
      </c>
      <c r="C1" s="89" t="s">
        <v>41</v>
      </c>
      <c r="D1" s="89" t="s">
        <v>5</v>
      </c>
      <c r="E1" s="89" t="s">
        <v>42</v>
      </c>
      <c r="F1" s="89" t="s">
        <v>43</v>
      </c>
      <c r="G1" s="89" t="s">
        <v>44</v>
      </c>
      <c r="H1" s="89" t="s">
        <v>45</v>
      </c>
      <c r="I1" s="89" t="s">
        <v>46</v>
      </c>
      <c r="J1" s="89" t="s">
        <v>47</v>
      </c>
      <c r="K1" s="89" t="s">
        <v>48</v>
      </c>
      <c r="L1" s="89" t="s">
        <v>49</v>
      </c>
      <c r="M1" s="89" t="s">
        <v>50</v>
      </c>
      <c r="N1" s="89" t="s">
        <v>51</v>
      </c>
      <c r="O1" s="89" t="s">
        <v>52</v>
      </c>
      <c r="P1" s="89" t="s">
        <v>53</v>
      </c>
      <c r="Q1" s="90" t="s">
        <v>54</v>
      </c>
    </row>
    <row r="2" spans="1:17">
      <c r="A2" s="92" t="s">
        <v>10</v>
      </c>
      <c r="B2" s="93" t="s">
        <v>55</v>
      </c>
      <c r="C2" s="94">
        <v>2008</v>
      </c>
      <c r="D2" s="85">
        <v>788839.59</v>
      </c>
      <c r="E2" s="85">
        <v>762480</v>
      </c>
      <c r="F2" s="85">
        <v>6173.2</v>
      </c>
      <c r="G2" s="85">
        <v>56282</v>
      </c>
      <c r="H2" s="85">
        <v>297694.7</v>
      </c>
      <c r="I2" s="85">
        <v>277607.40999999997</v>
      </c>
      <c r="J2" s="85">
        <v>106559.49</v>
      </c>
      <c r="K2" s="85">
        <v>12087.22</v>
      </c>
      <c r="L2" s="85">
        <v>7412.52</v>
      </c>
      <c r="M2" s="85">
        <v>7213.44</v>
      </c>
      <c r="N2" s="85">
        <v>6202.07</v>
      </c>
      <c r="O2" s="85">
        <v>3743.77</v>
      </c>
      <c r="P2" s="85">
        <v>3121.75</v>
      </c>
      <c r="Q2" s="86">
        <v>4742.0200000000004</v>
      </c>
    </row>
    <row r="3" spans="1:17" s="98" customFormat="1" ht="23.25" customHeight="1">
      <c r="A3" s="95"/>
      <c r="B3" s="96"/>
      <c r="C3" s="96"/>
      <c r="D3" s="97">
        <f>SUBTOTAL(9,D2:D2)</f>
        <v>788839.59</v>
      </c>
      <c r="E3" s="97">
        <f t="shared" ref="E3:Q3" si="0">SUBTOTAL(9,E2:E2)</f>
        <v>762480</v>
      </c>
      <c r="F3" s="97">
        <f t="shared" si="0"/>
        <v>6173.2</v>
      </c>
      <c r="G3" s="97">
        <f t="shared" si="0"/>
        <v>56282</v>
      </c>
      <c r="H3" s="97">
        <f t="shared" si="0"/>
        <v>297694.7</v>
      </c>
      <c r="I3" s="97">
        <f t="shared" si="0"/>
        <v>277607.40999999997</v>
      </c>
      <c r="J3" s="97">
        <f t="shared" si="0"/>
        <v>106559.49</v>
      </c>
      <c r="K3" s="97">
        <f t="shared" si="0"/>
        <v>12087.22</v>
      </c>
      <c r="L3" s="97">
        <f t="shared" si="0"/>
        <v>7412.52</v>
      </c>
      <c r="M3" s="97">
        <f t="shared" si="0"/>
        <v>7213.44</v>
      </c>
      <c r="N3" s="97">
        <f t="shared" si="0"/>
        <v>6202.07</v>
      </c>
      <c r="O3" s="97">
        <f t="shared" si="0"/>
        <v>3743.77</v>
      </c>
      <c r="P3" s="97">
        <f t="shared" si="0"/>
        <v>3121.75</v>
      </c>
      <c r="Q3" s="97">
        <f t="shared" si="0"/>
        <v>4742.0200000000004</v>
      </c>
    </row>
    <row r="4" spans="1:17">
      <c r="A4" s="92" t="s">
        <v>0</v>
      </c>
      <c r="B4" s="93" t="s">
        <v>56</v>
      </c>
      <c r="C4" s="94">
        <v>2008</v>
      </c>
      <c r="D4" s="85">
        <v>3209</v>
      </c>
      <c r="E4" s="85">
        <v>7500</v>
      </c>
      <c r="F4" s="85">
        <v>288</v>
      </c>
      <c r="G4" s="85">
        <v>162</v>
      </c>
      <c r="H4" s="85">
        <v>54</v>
      </c>
      <c r="I4" s="85">
        <v>252</v>
      </c>
      <c r="J4" s="85">
        <v>270</v>
      </c>
      <c r="K4" s="85">
        <v>234</v>
      </c>
      <c r="L4" s="85">
        <v>234</v>
      </c>
      <c r="M4" s="85">
        <v>270</v>
      </c>
      <c r="N4" s="85">
        <v>270</v>
      </c>
      <c r="O4" s="85">
        <v>396</v>
      </c>
      <c r="P4" s="85">
        <v>108</v>
      </c>
      <c r="Q4" s="86">
        <v>671</v>
      </c>
    </row>
    <row r="5" spans="1:17" s="98" customFormat="1" ht="23.25" customHeight="1">
      <c r="A5" s="95"/>
      <c r="B5" s="96"/>
      <c r="C5" s="96"/>
      <c r="D5" s="97">
        <f>SUBTOTAL(9,D4:D4)</f>
        <v>3209</v>
      </c>
      <c r="E5" s="97">
        <f t="shared" ref="E5:Q5" si="1">SUBTOTAL(9,E4:E4)</f>
        <v>7500</v>
      </c>
      <c r="F5" s="97">
        <f t="shared" si="1"/>
        <v>288</v>
      </c>
      <c r="G5" s="97">
        <f t="shared" si="1"/>
        <v>162</v>
      </c>
      <c r="H5" s="97">
        <f t="shared" si="1"/>
        <v>54</v>
      </c>
      <c r="I5" s="97">
        <f t="shared" si="1"/>
        <v>252</v>
      </c>
      <c r="J5" s="97">
        <f t="shared" si="1"/>
        <v>270</v>
      </c>
      <c r="K5" s="97">
        <f t="shared" si="1"/>
        <v>234</v>
      </c>
      <c r="L5" s="97">
        <f t="shared" si="1"/>
        <v>234</v>
      </c>
      <c r="M5" s="97">
        <f t="shared" si="1"/>
        <v>270</v>
      </c>
      <c r="N5" s="97">
        <f t="shared" si="1"/>
        <v>270</v>
      </c>
      <c r="O5" s="97">
        <f t="shared" si="1"/>
        <v>396</v>
      </c>
      <c r="P5" s="97">
        <f t="shared" si="1"/>
        <v>108</v>
      </c>
      <c r="Q5" s="97">
        <f t="shared" si="1"/>
        <v>671</v>
      </c>
    </row>
    <row r="6" spans="1:17">
      <c r="A6" s="92" t="s">
        <v>11</v>
      </c>
      <c r="B6" s="93" t="s">
        <v>57</v>
      </c>
      <c r="C6" s="94">
        <v>2008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0</v>
      </c>
      <c r="J6" s="85">
        <v>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6">
        <v>0</v>
      </c>
    </row>
    <row r="7" spans="1:17" s="98" customFormat="1" ht="23.25" customHeight="1">
      <c r="A7" s="95"/>
      <c r="B7" s="96"/>
      <c r="C7" s="96"/>
      <c r="D7" s="97">
        <f>SUBTOTAL(9,D6:D6)</f>
        <v>0</v>
      </c>
      <c r="E7" s="97">
        <f t="shared" ref="E7:Q7" si="2">SUBTOTAL(9,E6:E6)</f>
        <v>0</v>
      </c>
      <c r="F7" s="97">
        <f t="shared" si="2"/>
        <v>0</v>
      </c>
      <c r="G7" s="97">
        <f t="shared" si="2"/>
        <v>0</v>
      </c>
      <c r="H7" s="97">
        <f t="shared" si="2"/>
        <v>0</v>
      </c>
      <c r="I7" s="97">
        <f t="shared" si="2"/>
        <v>0</v>
      </c>
      <c r="J7" s="97">
        <f t="shared" si="2"/>
        <v>0</v>
      </c>
      <c r="K7" s="97">
        <f t="shared" si="2"/>
        <v>0</v>
      </c>
      <c r="L7" s="97">
        <f t="shared" si="2"/>
        <v>0</v>
      </c>
      <c r="M7" s="97">
        <f t="shared" si="2"/>
        <v>0</v>
      </c>
      <c r="N7" s="97">
        <f t="shared" si="2"/>
        <v>0</v>
      </c>
      <c r="O7" s="97">
        <f t="shared" si="2"/>
        <v>0</v>
      </c>
      <c r="P7" s="97">
        <f t="shared" si="2"/>
        <v>0</v>
      </c>
      <c r="Q7" s="97">
        <f t="shared" si="2"/>
        <v>0</v>
      </c>
    </row>
    <row r="8" spans="1:17">
      <c r="A8" s="99" t="s">
        <v>14</v>
      </c>
      <c r="B8" s="93" t="s">
        <v>58</v>
      </c>
      <c r="C8" s="94">
        <v>2008</v>
      </c>
      <c r="D8" s="85">
        <v>232822.37</v>
      </c>
      <c r="E8" s="85">
        <v>302500</v>
      </c>
      <c r="F8" s="85">
        <v>39274.629999999997</v>
      </c>
      <c r="G8" s="85">
        <v>5399.26</v>
      </c>
      <c r="H8" s="85">
        <v>2665.8</v>
      </c>
      <c r="I8" s="85">
        <v>27502.44</v>
      </c>
      <c r="J8" s="85">
        <v>2354.27</v>
      </c>
      <c r="K8" s="85">
        <v>1145</v>
      </c>
      <c r="L8" s="85">
        <v>2178.5700000000002</v>
      </c>
      <c r="M8" s="85">
        <v>9360.7900000000009</v>
      </c>
      <c r="N8" s="85">
        <v>117457.37</v>
      </c>
      <c r="O8" s="85">
        <v>11724.46</v>
      </c>
      <c r="P8" s="85">
        <v>10769.5</v>
      </c>
      <c r="Q8" s="86">
        <v>2990.28</v>
      </c>
    </row>
    <row r="9" spans="1:17">
      <c r="A9" s="100"/>
      <c r="B9" s="93" t="s">
        <v>86</v>
      </c>
      <c r="C9" s="94">
        <v>2008</v>
      </c>
      <c r="D9" s="85">
        <v>13064418.970000001</v>
      </c>
      <c r="E9" s="85">
        <v>11438200</v>
      </c>
      <c r="F9" s="85">
        <v>326482.2</v>
      </c>
      <c r="G9" s="85">
        <v>533439.6</v>
      </c>
      <c r="H9" s="85">
        <v>483900</v>
      </c>
      <c r="I9" s="85">
        <v>2487708.14</v>
      </c>
      <c r="J9" s="85">
        <v>2717071.2</v>
      </c>
      <c r="K9" s="85">
        <v>648195.03</v>
      </c>
      <c r="L9" s="85">
        <v>1076518.83</v>
      </c>
      <c r="M9" s="85">
        <v>355817.28</v>
      </c>
      <c r="N9" s="85">
        <v>2733779.96</v>
      </c>
      <c r="O9" s="85">
        <v>438819.9</v>
      </c>
      <c r="P9" s="85">
        <v>602479</v>
      </c>
      <c r="Q9" s="86">
        <v>660207.82999999996</v>
      </c>
    </row>
    <row r="10" spans="1:17" s="98" customFormat="1" ht="23.25" customHeight="1">
      <c r="A10" s="95"/>
      <c r="B10" s="96"/>
      <c r="C10" s="96"/>
      <c r="D10" s="97">
        <f>SUBTOTAL(9,D8:D9)</f>
        <v>13297241.34</v>
      </c>
      <c r="E10" s="97">
        <f t="shared" ref="E10:Q10" si="3">SUBTOTAL(9,E8:E9)</f>
        <v>11740700</v>
      </c>
      <c r="F10" s="97">
        <f t="shared" si="3"/>
        <v>365756.83</v>
      </c>
      <c r="G10" s="97">
        <f t="shared" si="3"/>
        <v>538838.86</v>
      </c>
      <c r="H10" s="97">
        <f t="shared" si="3"/>
        <v>486565.8</v>
      </c>
      <c r="I10" s="97">
        <f t="shared" si="3"/>
        <v>2515210.58</v>
      </c>
      <c r="J10" s="97">
        <f t="shared" si="3"/>
        <v>2719425.47</v>
      </c>
      <c r="K10" s="97">
        <f t="shared" si="3"/>
        <v>649340.03</v>
      </c>
      <c r="L10" s="97">
        <f t="shared" si="3"/>
        <v>1078697.4000000001</v>
      </c>
      <c r="M10" s="97">
        <f t="shared" si="3"/>
        <v>365178.07</v>
      </c>
      <c r="N10" s="97">
        <f t="shared" si="3"/>
        <v>2851237.33</v>
      </c>
      <c r="O10" s="97">
        <f t="shared" si="3"/>
        <v>450544.36000000004</v>
      </c>
      <c r="P10" s="97">
        <f t="shared" si="3"/>
        <v>613248.5</v>
      </c>
      <c r="Q10" s="97">
        <f t="shared" si="3"/>
        <v>663198.11</v>
      </c>
    </row>
    <row r="11" spans="1:17">
      <c r="A11" s="92" t="s">
        <v>16</v>
      </c>
      <c r="B11" s="93" t="s">
        <v>59</v>
      </c>
      <c r="C11" s="94">
        <v>2008</v>
      </c>
      <c r="D11" s="85">
        <v>2340429.91</v>
      </c>
      <c r="E11" s="85">
        <v>2042325</v>
      </c>
      <c r="F11" s="85">
        <v>0</v>
      </c>
      <c r="G11" s="85">
        <v>90341.96</v>
      </c>
      <c r="H11" s="85">
        <v>141108.88</v>
      </c>
      <c r="I11" s="85">
        <v>0</v>
      </c>
      <c r="J11" s="85">
        <v>66144.210000000006</v>
      </c>
      <c r="K11" s="85">
        <v>84910.01</v>
      </c>
      <c r="L11" s="85">
        <v>73141.429999999993</v>
      </c>
      <c r="M11" s="85">
        <v>63991.38</v>
      </c>
      <c r="N11" s="85">
        <v>1111302.24</v>
      </c>
      <c r="O11" s="85">
        <v>190281.34</v>
      </c>
      <c r="P11" s="85">
        <v>203905.04</v>
      </c>
      <c r="Q11" s="86">
        <v>315303.42</v>
      </c>
    </row>
    <row r="12" spans="1:17" s="98" customFormat="1" ht="23.25" customHeight="1">
      <c r="A12" s="95"/>
      <c r="B12" s="96"/>
      <c r="C12" s="96"/>
      <c r="D12" s="97">
        <f>SUBTOTAL(9,D11:D11)</f>
        <v>2340429.91</v>
      </c>
      <c r="E12" s="97">
        <f t="shared" ref="E12:Q12" si="4">SUBTOTAL(9,E11:E11)</f>
        <v>2042325</v>
      </c>
      <c r="F12" s="97">
        <f t="shared" si="4"/>
        <v>0</v>
      </c>
      <c r="G12" s="97">
        <f t="shared" si="4"/>
        <v>90341.96</v>
      </c>
      <c r="H12" s="97">
        <f t="shared" si="4"/>
        <v>141108.88</v>
      </c>
      <c r="I12" s="97">
        <f t="shared" si="4"/>
        <v>0</v>
      </c>
      <c r="J12" s="97">
        <f t="shared" si="4"/>
        <v>66144.210000000006</v>
      </c>
      <c r="K12" s="97">
        <f t="shared" si="4"/>
        <v>84910.01</v>
      </c>
      <c r="L12" s="97">
        <f t="shared" si="4"/>
        <v>73141.429999999993</v>
      </c>
      <c r="M12" s="97">
        <f t="shared" si="4"/>
        <v>63991.38</v>
      </c>
      <c r="N12" s="97">
        <f t="shared" si="4"/>
        <v>1111302.24</v>
      </c>
      <c r="O12" s="97">
        <f t="shared" si="4"/>
        <v>190281.34</v>
      </c>
      <c r="P12" s="97">
        <f t="shared" si="4"/>
        <v>203905.04</v>
      </c>
      <c r="Q12" s="97">
        <f t="shared" si="4"/>
        <v>315303.42</v>
      </c>
    </row>
    <row r="13" spans="1:17">
      <c r="A13" s="92" t="s">
        <v>12</v>
      </c>
      <c r="B13" s="93" t="s">
        <v>60</v>
      </c>
      <c r="C13" s="94">
        <v>2008</v>
      </c>
      <c r="D13" s="85">
        <v>457042.89</v>
      </c>
      <c r="E13" s="85">
        <v>572500</v>
      </c>
      <c r="F13" s="85">
        <v>40699.46</v>
      </c>
      <c r="G13" s="85">
        <v>34655.839999999997</v>
      </c>
      <c r="H13" s="85">
        <v>36968.79</v>
      </c>
      <c r="I13" s="85">
        <v>13982.28</v>
      </c>
      <c r="J13" s="85">
        <v>39379.81</v>
      </c>
      <c r="K13" s="85">
        <v>58728.25</v>
      </c>
      <c r="L13" s="85">
        <v>38268.21</v>
      </c>
      <c r="M13" s="85">
        <v>32971.599999999999</v>
      </c>
      <c r="N13" s="85">
        <v>36151.51</v>
      </c>
      <c r="O13" s="85">
        <v>34331.93</v>
      </c>
      <c r="P13" s="85">
        <v>32713.84</v>
      </c>
      <c r="Q13" s="86">
        <v>58191.37</v>
      </c>
    </row>
    <row r="14" spans="1:17" s="98" customFormat="1" ht="23.25" customHeight="1">
      <c r="A14" s="95"/>
      <c r="B14" s="96"/>
      <c r="C14" s="96"/>
      <c r="D14" s="97">
        <f>SUBTOTAL(9,D13:D13)</f>
        <v>457042.89</v>
      </c>
      <c r="E14" s="97">
        <f t="shared" ref="E14:Q14" si="5">SUBTOTAL(9,E13:E13)</f>
        <v>572500</v>
      </c>
      <c r="F14" s="97">
        <f t="shared" si="5"/>
        <v>40699.46</v>
      </c>
      <c r="G14" s="97">
        <f t="shared" si="5"/>
        <v>34655.839999999997</v>
      </c>
      <c r="H14" s="97">
        <f t="shared" si="5"/>
        <v>36968.79</v>
      </c>
      <c r="I14" s="97">
        <f t="shared" si="5"/>
        <v>13982.28</v>
      </c>
      <c r="J14" s="97">
        <f t="shared" si="5"/>
        <v>39379.81</v>
      </c>
      <c r="K14" s="97">
        <f t="shared" si="5"/>
        <v>58728.25</v>
      </c>
      <c r="L14" s="97">
        <f t="shared" si="5"/>
        <v>38268.21</v>
      </c>
      <c r="M14" s="97">
        <f t="shared" si="5"/>
        <v>32971.599999999999</v>
      </c>
      <c r="N14" s="97">
        <f t="shared" si="5"/>
        <v>36151.51</v>
      </c>
      <c r="O14" s="97">
        <f t="shared" si="5"/>
        <v>34331.93</v>
      </c>
      <c r="P14" s="97">
        <f t="shared" si="5"/>
        <v>32713.84</v>
      </c>
      <c r="Q14" s="97">
        <f t="shared" si="5"/>
        <v>58191.37</v>
      </c>
    </row>
    <row r="15" spans="1:17">
      <c r="A15" s="92" t="s">
        <v>15</v>
      </c>
      <c r="B15" s="93" t="s">
        <v>61</v>
      </c>
      <c r="C15" s="94">
        <v>2008</v>
      </c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  <c r="O15" s="85">
        <v>0</v>
      </c>
      <c r="P15" s="85">
        <v>0</v>
      </c>
      <c r="Q15" s="86">
        <v>0</v>
      </c>
    </row>
    <row r="16" spans="1:17" s="98" customFormat="1" ht="23.25" customHeight="1">
      <c r="A16" s="95"/>
      <c r="B16" s="96"/>
      <c r="C16" s="96"/>
      <c r="D16" s="97">
        <f>SUBTOTAL(9,D15:D15)</f>
        <v>0</v>
      </c>
      <c r="E16" s="97">
        <f t="shared" ref="E16:Q16" si="6">SUBTOTAL(9,E15:E15)</f>
        <v>0</v>
      </c>
      <c r="F16" s="97">
        <f t="shared" si="6"/>
        <v>0</v>
      </c>
      <c r="G16" s="97">
        <f t="shared" si="6"/>
        <v>0</v>
      </c>
      <c r="H16" s="97">
        <f t="shared" si="6"/>
        <v>0</v>
      </c>
      <c r="I16" s="97">
        <f t="shared" si="6"/>
        <v>0</v>
      </c>
      <c r="J16" s="97">
        <f t="shared" si="6"/>
        <v>0</v>
      </c>
      <c r="K16" s="97">
        <f t="shared" si="6"/>
        <v>0</v>
      </c>
      <c r="L16" s="97">
        <f t="shared" si="6"/>
        <v>0</v>
      </c>
      <c r="M16" s="97">
        <f t="shared" si="6"/>
        <v>0</v>
      </c>
      <c r="N16" s="97">
        <f t="shared" si="6"/>
        <v>0</v>
      </c>
      <c r="O16" s="97">
        <f t="shared" si="6"/>
        <v>0</v>
      </c>
      <c r="P16" s="97">
        <f t="shared" si="6"/>
        <v>0</v>
      </c>
      <c r="Q16" s="97">
        <f t="shared" si="6"/>
        <v>0</v>
      </c>
    </row>
    <row r="17" spans="1:18">
      <c r="A17" s="92" t="s">
        <v>13</v>
      </c>
      <c r="B17" s="93" t="s">
        <v>62</v>
      </c>
      <c r="C17" s="94">
        <v>2008</v>
      </c>
      <c r="D17" s="85">
        <v>13157.15</v>
      </c>
      <c r="E17" s="85">
        <v>50000</v>
      </c>
      <c r="F17" s="85">
        <v>8149.65</v>
      </c>
      <c r="G17" s="85">
        <v>8039.6</v>
      </c>
      <c r="H17" s="85">
        <v>-15276.92</v>
      </c>
      <c r="I17" s="85">
        <v>2169.6</v>
      </c>
      <c r="J17" s="85">
        <v>16245.5</v>
      </c>
      <c r="K17" s="85">
        <v>-13181.81</v>
      </c>
      <c r="L17" s="85">
        <v>232</v>
      </c>
      <c r="M17" s="85">
        <v>992.51</v>
      </c>
      <c r="N17" s="85">
        <v>1621.92</v>
      </c>
      <c r="O17" s="85">
        <v>1902.47</v>
      </c>
      <c r="P17" s="85">
        <v>1053.5999999999999</v>
      </c>
      <c r="Q17" s="86">
        <v>1209.03</v>
      </c>
    </row>
    <row r="18" spans="1:18" s="98" customFormat="1" ht="23.25" customHeight="1">
      <c r="A18" s="95"/>
      <c r="B18" s="96"/>
      <c r="C18" s="96"/>
      <c r="D18" s="97">
        <f>SUBTOTAL(9,D17:D17)</f>
        <v>13157.15</v>
      </c>
      <c r="E18" s="97">
        <f t="shared" ref="E18:Q18" si="7">SUBTOTAL(9,E17:E17)</f>
        <v>50000</v>
      </c>
      <c r="F18" s="97">
        <f t="shared" si="7"/>
        <v>8149.65</v>
      </c>
      <c r="G18" s="97">
        <f t="shared" si="7"/>
        <v>8039.6</v>
      </c>
      <c r="H18" s="97">
        <f t="shared" si="7"/>
        <v>-15276.92</v>
      </c>
      <c r="I18" s="97">
        <f t="shared" si="7"/>
        <v>2169.6</v>
      </c>
      <c r="J18" s="97">
        <f t="shared" si="7"/>
        <v>16245.5</v>
      </c>
      <c r="K18" s="97">
        <f t="shared" si="7"/>
        <v>-13181.81</v>
      </c>
      <c r="L18" s="97">
        <f t="shared" si="7"/>
        <v>232</v>
      </c>
      <c r="M18" s="97">
        <f t="shared" si="7"/>
        <v>992.51</v>
      </c>
      <c r="N18" s="97">
        <f t="shared" si="7"/>
        <v>1621.92</v>
      </c>
      <c r="O18" s="97">
        <f t="shared" si="7"/>
        <v>1902.47</v>
      </c>
      <c r="P18" s="97">
        <f t="shared" si="7"/>
        <v>1053.5999999999999</v>
      </c>
      <c r="Q18" s="97">
        <f t="shared" si="7"/>
        <v>1209.03</v>
      </c>
    </row>
    <row r="19" spans="1:18">
      <c r="A19" s="92" t="s">
        <v>6</v>
      </c>
      <c r="B19" s="93" t="s">
        <v>63</v>
      </c>
      <c r="C19" s="94">
        <v>2008</v>
      </c>
      <c r="D19" s="85">
        <v>350253.4</v>
      </c>
      <c r="E19" s="85">
        <v>40000</v>
      </c>
      <c r="F19" s="85">
        <v>0</v>
      </c>
      <c r="G19" s="85">
        <v>269369.3</v>
      </c>
      <c r="H19" s="85">
        <v>0</v>
      </c>
      <c r="I19" s="85">
        <v>0</v>
      </c>
      <c r="J19" s="85">
        <v>0</v>
      </c>
      <c r="K19" s="85">
        <v>42666.54</v>
      </c>
      <c r="L19" s="85">
        <v>0</v>
      </c>
      <c r="M19" s="85">
        <v>0</v>
      </c>
      <c r="N19" s="85">
        <v>0</v>
      </c>
      <c r="O19" s="85">
        <v>16000</v>
      </c>
      <c r="P19" s="85">
        <v>22217.56</v>
      </c>
      <c r="Q19" s="86">
        <v>0</v>
      </c>
    </row>
    <row r="20" spans="1:18" s="98" customFormat="1" ht="23.25" customHeight="1">
      <c r="A20" s="95"/>
      <c r="B20" s="96"/>
      <c r="C20" s="96"/>
      <c r="D20" s="101">
        <f>SUBTOTAL(9,D19:D19)</f>
        <v>350253.4</v>
      </c>
      <c r="E20" s="101">
        <f t="shared" ref="E20:Q20" si="8">SUBTOTAL(9,E19:E19)</f>
        <v>40000</v>
      </c>
      <c r="F20" s="101">
        <f t="shared" si="8"/>
        <v>0</v>
      </c>
      <c r="G20" s="101">
        <f t="shared" si="8"/>
        <v>269369.3</v>
      </c>
      <c r="H20" s="101">
        <f t="shared" si="8"/>
        <v>0</v>
      </c>
      <c r="I20" s="101">
        <f t="shared" si="8"/>
        <v>0</v>
      </c>
      <c r="J20" s="101">
        <f t="shared" si="8"/>
        <v>0</v>
      </c>
      <c r="K20" s="101">
        <f t="shared" si="8"/>
        <v>42666.54</v>
      </c>
      <c r="L20" s="101">
        <f t="shared" si="8"/>
        <v>0</v>
      </c>
      <c r="M20" s="101">
        <f t="shared" si="8"/>
        <v>0</v>
      </c>
      <c r="N20" s="101">
        <f t="shared" si="8"/>
        <v>0</v>
      </c>
      <c r="O20" s="101">
        <f t="shared" si="8"/>
        <v>16000</v>
      </c>
      <c r="P20" s="101">
        <f t="shared" si="8"/>
        <v>22217.56</v>
      </c>
      <c r="Q20" s="101">
        <f t="shared" si="8"/>
        <v>0</v>
      </c>
    </row>
    <row r="21" spans="1:18" s="30" customFormat="1" ht="19.5" customHeight="1">
      <c r="A21" s="31"/>
      <c r="B21" s="32"/>
      <c r="C21" s="33"/>
      <c r="D21" s="33">
        <f>SUBTOTAL(9,D2:D20)</f>
        <v>17250173.279999997</v>
      </c>
      <c r="E21" s="33">
        <f t="shared" ref="E21:Q21" si="9">SUBTOTAL(9,E2:E20)</f>
        <v>15215505</v>
      </c>
      <c r="F21" s="33">
        <f t="shared" si="9"/>
        <v>421067.14000000007</v>
      </c>
      <c r="G21" s="33">
        <f t="shared" si="9"/>
        <v>997689.55999999982</v>
      </c>
      <c r="H21" s="33">
        <f t="shared" si="9"/>
        <v>947115.25</v>
      </c>
      <c r="I21" s="33">
        <f t="shared" si="9"/>
        <v>2809221.87</v>
      </c>
      <c r="J21" s="33">
        <f t="shared" si="9"/>
        <v>2948024.48</v>
      </c>
      <c r="K21" s="33">
        <f t="shared" si="9"/>
        <v>834784.24</v>
      </c>
      <c r="L21" s="33">
        <f t="shared" si="9"/>
        <v>1197985.56</v>
      </c>
      <c r="M21" s="33">
        <f t="shared" si="9"/>
        <v>470617</v>
      </c>
      <c r="N21" s="33">
        <f t="shared" si="9"/>
        <v>4006785.0699999994</v>
      </c>
      <c r="O21" s="33">
        <f t="shared" si="9"/>
        <v>697199.87</v>
      </c>
      <c r="P21" s="34">
        <f t="shared" si="9"/>
        <v>876368.29</v>
      </c>
      <c r="Q21" s="35">
        <f t="shared" si="9"/>
        <v>1043314.9500000001</v>
      </c>
      <c r="R21" s="35"/>
    </row>
    <row r="22" spans="1:18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</row>
  </sheetData>
  <phoneticPr fontId="12" type="noConversion"/>
  <pageMargins left="0.248" right="0.22" top="1.07" bottom="0.76400000000000001" header="0.248" footer="0.22"/>
  <pageSetup orientation="landscape" horizontalDpi="1200" verticalDpi="1200" r:id="rId1"/>
  <headerFooter alignWithMargins="0">
    <oddHeader>&amp;L&amp;"Arial"&amp;10Detail Filter:  Fiscal Year  =  2008  and  Fund  =  001 &amp;C&amp;B&amp;"Times New Roman"&amp;14Collin County Actual Revenues and Original Revenue Budgets (Monthly Detail)&amp;R&amp;"Arial"&amp;8Date: 1/6/2010</oddHeader>
    <oddFooter>&amp;L&amp;C&amp;"Arial"&amp;10Page &amp;P&amp;R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showGridLines="0" workbookViewId="0">
      <selection activeCell="A4" sqref="A4:IV8"/>
    </sheetView>
  </sheetViews>
  <sheetFormatPr defaultColWidth="8" defaultRowHeight="12.75"/>
  <cols>
    <col min="1" max="1" width="7.25" style="66" bestFit="1" customWidth="1"/>
    <col min="2" max="2" width="23.375" style="66" bestFit="1" customWidth="1"/>
    <col min="3" max="5" width="13.5" style="66" bestFit="1" customWidth="1"/>
    <col min="6" max="6" width="11.625" style="66" bestFit="1" customWidth="1"/>
    <col min="7" max="7" width="12.5" style="66" bestFit="1" customWidth="1"/>
    <col min="8" max="8" width="11.625" style="66" bestFit="1" customWidth="1"/>
    <col min="9" max="10" width="12.5" style="66" bestFit="1" customWidth="1"/>
    <col min="11" max="12" width="11.625" style="66" bestFit="1" customWidth="1"/>
    <col min="13" max="14" width="12.5" style="66" bestFit="1" customWidth="1"/>
    <col min="15" max="15" width="11.625" style="66" bestFit="1" customWidth="1"/>
    <col min="16" max="17" width="12.5" style="66" bestFit="1" customWidth="1"/>
    <col min="18" max="16384" width="8" style="66"/>
  </cols>
  <sheetData>
    <row r="1" spans="1:17" s="54" customFormat="1" ht="38.25">
      <c r="A1" s="47" t="s">
        <v>67</v>
      </c>
      <c r="B1" s="47" t="s">
        <v>39</v>
      </c>
      <c r="C1" s="47" t="s">
        <v>68</v>
      </c>
      <c r="D1" s="47" t="s">
        <v>69</v>
      </c>
      <c r="E1" s="47" t="s">
        <v>70</v>
      </c>
      <c r="F1" s="47" t="s">
        <v>43</v>
      </c>
      <c r="G1" s="47" t="s">
        <v>44</v>
      </c>
      <c r="H1" s="47" t="s">
        <v>45</v>
      </c>
      <c r="I1" s="47" t="s">
        <v>46</v>
      </c>
      <c r="J1" s="47" t="s">
        <v>47</v>
      </c>
      <c r="K1" s="47" t="s">
        <v>48</v>
      </c>
      <c r="L1" s="47" t="s">
        <v>49</v>
      </c>
      <c r="M1" s="47" t="s">
        <v>50</v>
      </c>
      <c r="N1" s="47" t="s">
        <v>51</v>
      </c>
      <c r="O1" s="47" t="s">
        <v>52</v>
      </c>
      <c r="P1" s="47" t="s">
        <v>53</v>
      </c>
      <c r="Q1" s="47" t="s">
        <v>54</v>
      </c>
    </row>
    <row r="2" spans="1:17">
      <c r="A2" s="67">
        <v>80</v>
      </c>
      <c r="B2" s="68" t="s">
        <v>7</v>
      </c>
      <c r="C2" s="85">
        <v>44035</v>
      </c>
      <c r="D2" s="85">
        <v>401290</v>
      </c>
      <c r="E2" s="85">
        <v>243785.86</v>
      </c>
      <c r="F2" s="85">
        <v>0</v>
      </c>
      <c r="G2" s="85">
        <v>4950.87</v>
      </c>
      <c r="H2" s="85">
        <v>2594.61</v>
      </c>
      <c r="I2" s="85">
        <v>6971.6</v>
      </c>
      <c r="J2" s="85">
        <v>579</v>
      </c>
      <c r="K2" s="85">
        <v>7166</v>
      </c>
      <c r="L2" s="85">
        <v>12673.08</v>
      </c>
      <c r="M2" s="85">
        <v>2761.02</v>
      </c>
      <c r="N2" s="85">
        <v>15726.01</v>
      </c>
      <c r="O2" s="85">
        <v>2167.48</v>
      </c>
      <c r="P2" s="85">
        <v>183699.55</v>
      </c>
      <c r="Q2" s="86">
        <v>4496.6400000000003</v>
      </c>
    </row>
    <row r="3" spans="1:17">
      <c r="A3" s="67">
        <v>41</v>
      </c>
      <c r="B3" s="68" t="s">
        <v>35</v>
      </c>
      <c r="C3" s="85">
        <v>577</v>
      </c>
      <c r="D3" s="85">
        <v>577</v>
      </c>
      <c r="E3" s="85">
        <v>322.8</v>
      </c>
      <c r="F3" s="85">
        <v>0</v>
      </c>
      <c r="G3" s="85">
        <v>0</v>
      </c>
      <c r="H3" s="85">
        <v>0</v>
      </c>
      <c r="I3" s="85">
        <v>0</v>
      </c>
      <c r="J3" s="85">
        <v>322.8</v>
      </c>
      <c r="K3" s="85">
        <v>0</v>
      </c>
      <c r="L3" s="85">
        <v>0</v>
      </c>
      <c r="M3" s="85">
        <v>0</v>
      </c>
      <c r="N3" s="85">
        <v>0</v>
      </c>
      <c r="O3" s="85">
        <v>0</v>
      </c>
      <c r="P3" s="85">
        <v>0</v>
      </c>
      <c r="Q3" s="86">
        <v>0</v>
      </c>
    </row>
    <row r="4" spans="1:17">
      <c r="A4" s="67">
        <v>68</v>
      </c>
      <c r="B4" s="68" t="s">
        <v>71</v>
      </c>
      <c r="C4" s="85">
        <v>17022879</v>
      </c>
      <c r="D4" s="85">
        <v>20274507</v>
      </c>
      <c r="E4" s="85">
        <v>15614231.35</v>
      </c>
      <c r="F4" s="85">
        <v>235056.56</v>
      </c>
      <c r="G4" s="85">
        <v>1177676.24</v>
      </c>
      <c r="H4" s="85">
        <v>1303746.8600000001</v>
      </c>
      <c r="I4" s="85">
        <v>1911604.48</v>
      </c>
      <c r="J4" s="85">
        <v>1424979.83</v>
      </c>
      <c r="K4" s="85">
        <v>1294437.3400000001</v>
      </c>
      <c r="L4" s="85">
        <v>673556.6</v>
      </c>
      <c r="M4" s="85">
        <v>274547.38</v>
      </c>
      <c r="N4" s="85">
        <v>1145083.3999999999</v>
      </c>
      <c r="O4" s="85">
        <v>1188340.93</v>
      </c>
      <c r="P4" s="85">
        <v>2130329.0699999998</v>
      </c>
      <c r="Q4" s="86">
        <v>2854872.66</v>
      </c>
    </row>
    <row r="5" spans="1:17">
      <c r="A5" s="69">
        <v>88</v>
      </c>
      <c r="B5" s="70" t="s">
        <v>8</v>
      </c>
      <c r="C5" s="85">
        <v>0</v>
      </c>
      <c r="D5" s="85">
        <v>0</v>
      </c>
      <c r="E5" s="85">
        <v>0</v>
      </c>
      <c r="F5" s="85">
        <v>0</v>
      </c>
      <c r="G5" s="85">
        <v>0</v>
      </c>
      <c r="H5" s="85">
        <v>0</v>
      </c>
      <c r="I5" s="85">
        <v>0</v>
      </c>
      <c r="J5" s="85">
        <v>0</v>
      </c>
      <c r="K5" s="85">
        <v>0</v>
      </c>
      <c r="L5" s="85">
        <v>0</v>
      </c>
      <c r="M5" s="85">
        <v>0</v>
      </c>
      <c r="N5" s="85">
        <v>0</v>
      </c>
      <c r="O5" s="85">
        <v>0</v>
      </c>
      <c r="P5" s="85">
        <v>0</v>
      </c>
      <c r="Q5" s="86">
        <v>0</v>
      </c>
    </row>
    <row r="6" spans="1:17">
      <c r="A6" s="71"/>
      <c r="B6" s="72"/>
      <c r="C6" s="74">
        <f>SUBTOTAL(9,C2:C5)</f>
        <v>17067491</v>
      </c>
      <c r="D6" s="74">
        <f t="shared" ref="D6:Q6" si="0">SUBTOTAL(9,D2:D5)</f>
        <v>20676374</v>
      </c>
      <c r="E6" s="74">
        <f t="shared" si="0"/>
        <v>15858340.01</v>
      </c>
      <c r="F6" s="74">
        <f t="shared" si="0"/>
        <v>235056.56</v>
      </c>
      <c r="G6" s="74">
        <f t="shared" si="0"/>
        <v>1182627.1100000001</v>
      </c>
      <c r="H6" s="74">
        <f t="shared" si="0"/>
        <v>1306341.4700000002</v>
      </c>
      <c r="I6" s="74">
        <f t="shared" si="0"/>
        <v>1918576.08</v>
      </c>
      <c r="J6" s="74">
        <f t="shared" si="0"/>
        <v>1425881.6300000001</v>
      </c>
      <c r="K6" s="74">
        <f t="shared" si="0"/>
        <v>1301603.3400000001</v>
      </c>
      <c r="L6" s="74">
        <f t="shared" si="0"/>
        <v>686229.67999999993</v>
      </c>
      <c r="M6" s="74">
        <f t="shared" si="0"/>
        <v>277308.40000000002</v>
      </c>
      <c r="N6" s="74">
        <f t="shared" si="0"/>
        <v>1160809.4099999999</v>
      </c>
      <c r="O6" s="74">
        <f t="shared" si="0"/>
        <v>1190508.4099999999</v>
      </c>
      <c r="P6" s="74">
        <f t="shared" si="0"/>
        <v>2314028.6199999996</v>
      </c>
      <c r="Q6" s="74">
        <f t="shared" si="0"/>
        <v>2859369.3000000003</v>
      </c>
    </row>
    <row r="7" spans="1:17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</row>
  </sheetData>
  <phoneticPr fontId="12" type="noConversion"/>
  <pageMargins left="0.39300000000000002" right="0.39300000000000002" top="1.2150000000000001" bottom="0.93799999999999994" header="0.39300000000000002" footer="0.39300000000000002"/>
  <pageSetup orientation="landscape" horizontalDpi="1200" verticalDpi="1200" r:id="rId1"/>
  <headerFooter alignWithMargins="0">
    <oddHeader>&amp;L&amp;B&amp;"Arial"&amp;10Fund: 1&amp;C&amp;B&amp;"Times New Roman"&amp;14Expenditure / Budget for FY2008&amp;R&amp;"Arial"&amp;8Date: 1/6/2010</oddHeader>
    <oddFooter>&amp;L&amp;C&amp;"Arial"&amp;10Page &amp;P&amp;R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7"/>
  <sheetViews>
    <sheetView zoomScale="90" zoomScaleNormal="90" workbookViewId="0">
      <selection activeCell="L22" sqref="L22"/>
    </sheetView>
  </sheetViews>
  <sheetFormatPr defaultRowHeight="12.75"/>
  <cols>
    <col min="1" max="1" width="5.5" style="2" bestFit="1" customWidth="1"/>
    <col min="2" max="2" width="16.5" style="2" customWidth="1"/>
    <col min="3" max="3" width="16.625" style="2" customWidth="1"/>
    <col min="4" max="4" width="19.125" style="2" customWidth="1"/>
    <col min="5" max="5" width="8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5" style="2" customWidth="1"/>
    <col min="12" max="12" width="12.875" style="2" customWidth="1"/>
    <col min="13" max="13" width="11.75" style="2" customWidth="1"/>
    <col min="14" max="14" width="12.5" style="2" bestFit="1" customWidth="1"/>
    <col min="15" max="15" width="10.25" style="2" bestFit="1" customWidth="1"/>
    <col min="16" max="17" width="11.5" style="2" customWidth="1"/>
    <col min="18" max="18" width="11.125" style="2" bestFit="1" customWidth="1"/>
    <col min="19" max="19" width="13.25" style="2" bestFit="1" customWidth="1"/>
    <col min="20" max="20" width="12.75" style="2" customWidth="1"/>
    <col min="21" max="21" width="12.5" style="2" bestFit="1" customWidth="1"/>
    <col min="22" max="22" width="11.25" style="2" customWidth="1"/>
    <col min="23" max="23" width="12.5" style="2" bestFit="1" customWidth="1"/>
    <col min="24" max="24" width="11.125" style="2" bestFit="1" customWidth="1"/>
    <col min="25" max="25" width="15.875" style="2" customWidth="1"/>
    <col min="26" max="26" width="10.75" style="2" customWidth="1"/>
    <col min="27" max="27" width="13.625" style="2" customWidth="1"/>
    <col min="28" max="28" width="11.875" style="2" customWidth="1"/>
    <col min="29" max="29" width="12.5" style="2" bestFit="1" customWidth="1"/>
    <col min="30" max="30" width="11.5" style="2" customWidth="1"/>
    <col min="31" max="31" width="11" style="2" customWidth="1"/>
    <col min="32" max="32" width="9" style="2"/>
    <col min="33" max="33" width="14" style="2" customWidth="1"/>
    <col min="34" max="16384" width="9" style="2"/>
  </cols>
  <sheetData>
    <row r="1" spans="1:32" ht="15.95" customHeight="1">
      <c r="E1" s="3"/>
      <c r="F1" s="161" t="s">
        <v>17</v>
      </c>
    </row>
    <row r="2" spans="1:32" ht="15.95" customHeight="1">
      <c r="E2" s="3"/>
      <c r="F2" s="161" t="s">
        <v>36</v>
      </c>
    </row>
    <row r="3" spans="1:32" ht="15.95" customHeight="1">
      <c r="B3" s="175" t="s">
        <v>30</v>
      </c>
      <c r="C3" s="175"/>
      <c r="D3" s="175"/>
      <c r="E3" s="3"/>
      <c r="F3" s="161" t="s">
        <v>37</v>
      </c>
    </row>
    <row r="4" spans="1:32" ht="15.95" customHeight="1">
      <c r="E4" s="3"/>
      <c r="F4" s="161" t="s">
        <v>38</v>
      </c>
    </row>
    <row r="5" spans="1:32" ht="15.95" customHeight="1">
      <c r="E5" s="3"/>
      <c r="F5" s="161" t="s">
        <v>18</v>
      </c>
    </row>
    <row r="6" spans="1:32" ht="15.75">
      <c r="A6" s="4"/>
      <c r="B6" s="4"/>
      <c r="C6" s="4"/>
      <c r="D6" s="5"/>
      <c r="E6" s="5"/>
      <c r="F6" s="4"/>
    </row>
    <row r="7" spans="1:32" ht="15.75">
      <c r="A7" s="147"/>
      <c r="B7" s="147"/>
      <c r="C7" s="147"/>
      <c r="D7" s="148"/>
      <c r="E7" s="148"/>
      <c r="F7" s="147"/>
    </row>
    <row r="8" spans="1:32" ht="19.5" customHeight="1">
      <c r="A8" s="149" t="s">
        <v>195</v>
      </c>
      <c r="B8" s="147" t="s">
        <v>26</v>
      </c>
      <c r="C8" s="147"/>
      <c r="D8" s="147"/>
      <c r="E8" s="147"/>
      <c r="F8" s="147"/>
    </row>
    <row r="9" spans="1:32" ht="19.5" customHeight="1">
      <c r="A9" s="149" t="s">
        <v>196</v>
      </c>
      <c r="B9" s="147" t="s">
        <v>64</v>
      </c>
      <c r="C9" s="147"/>
      <c r="D9" s="147"/>
      <c r="E9" s="147"/>
      <c r="F9" s="147"/>
    </row>
    <row r="10" spans="1:32" ht="19.5" customHeight="1">
      <c r="A10" s="149" t="s">
        <v>197</v>
      </c>
      <c r="B10" s="150">
        <v>41379</v>
      </c>
      <c r="C10" s="147"/>
      <c r="D10" s="147"/>
      <c r="E10" s="147"/>
      <c r="F10" s="147"/>
    </row>
    <row r="11" spans="1:32" ht="19.5" customHeight="1">
      <c r="A11" s="149" t="s">
        <v>198</v>
      </c>
      <c r="B11" s="147" t="s">
        <v>199</v>
      </c>
      <c r="C11" s="147"/>
      <c r="D11" s="147"/>
      <c r="E11" s="147"/>
      <c r="F11" s="147"/>
    </row>
    <row r="12" spans="1:32" ht="19.5" customHeight="1">
      <c r="A12" s="149"/>
      <c r="B12" s="147"/>
      <c r="C12" s="147"/>
      <c r="D12" s="147"/>
      <c r="E12" s="147"/>
      <c r="F12" s="147"/>
    </row>
    <row r="13" spans="1:32" ht="6.75" customHeight="1">
      <c r="A13" s="176"/>
      <c r="B13" s="176"/>
      <c r="C13" s="176"/>
      <c r="D13" s="176"/>
      <c r="E13" s="176"/>
      <c r="F13" s="176"/>
    </row>
    <row r="14" spans="1:32" ht="19.5" customHeight="1">
      <c r="A14" s="174" t="s">
        <v>87</v>
      </c>
      <c r="B14" s="174"/>
      <c r="C14" s="174"/>
      <c r="D14" s="174"/>
      <c r="E14" s="174"/>
      <c r="F14" s="174"/>
    </row>
    <row r="15" spans="1:32" ht="4.5" customHeight="1">
      <c r="A15" s="147"/>
      <c r="B15" s="147"/>
      <c r="C15" s="147"/>
      <c r="D15" s="147"/>
      <c r="E15" s="147"/>
      <c r="F15" s="147"/>
      <c r="N15" s="64"/>
      <c r="O15" s="64"/>
      <c r="P15" s="64"/>
      <c r="Q15" s="64"/>
    </row>
    <row r="16" spans="1:32" ht="39">
      <c r="A16" s="177"/>
      <c r="B16" s="177"/>
      <c r="C16" s="145" t="s">
        <v>189</v>
      </c>
      <c r="D16" s="145" t="s">
        <v>200</v>
      </c>
      <c r="E16" s="145" t="s">
        <v>19</v>
      </c>
      <c r="F16" s="145" t="s">
        <v>201</v>
      </c>
      <c r="G16" s="10">
        <v>0.5</v>
      </c>
      <c r="H16" s="27"/>
      <c r="I16" s="10">
        <v>0.5</v>
      </c>
      <c r="K16" s="9" t="s">
        <v>189</v>
      </c>
      <c r="L16" s="9" t="s">
        <v>202</v>
      </c>
      <c r="M16" s="9">
        <v>2013</v>
      </c>
      <c r="N16" s="9" t="s">
        <v>152</v>
      </c>
      <c r="O16" s="9" t="s">
        <v>167</v>
      </c>
      <c r="P16" s="9">
        <v>2012</v>
      </c>
      <c r="Q16" s="9" t="s">
        <v>110</v>
      </c>
      <c r="R16" s="9" t="s">
        <v>168</v>
      </c>
      <c r="S16" s="9" t="s">
        <v>150</v>
      </c>
      <c r="T16" s="9">
        <v>2011</v>
      </c>
      <c r="U16" s="9" t="s">
        <v>65</v>
      </c>
      <c r="V16" s="9" t="s">
        <v>123</v>
      </c>
      <c r="W16" s="9" t="s">
        <v>149</v>
      </c>
      <c r="X16" s="9">
        <v>2010</v>
      </c>
      <c r="Y16" s="9" t="s">
        <v>1</v>
      </c>
      <c r="Z16" s="9" t="s">
        <v>169</v>
      </c>
      <c r="AA16" s="9" t="s">
        <v>76</v>
      </c>
      <c r="AB16" s="9">
        <v>2009</v>
      </c>
      <c r="AC16" s="9" t="s">
        <v>74</v>
      </c>
      <c r="AD16" s="9" t="s">
        <v>125</v>
      </c>
      <c r="AE16" s="9" t="s">
        <v>77</v>
      </c>
      <c r="AF16" s="9">
        <v>2008</v>
      </c>
    </row>
    <row r="17" spans="1:32" ht="15.75" customHeight="1">
      <c r="A17" s="172" t="s">
        <v>20</v>
      </c>
      <c r="B17" s="172"/>
      <c r="C17" s="151">
        <f>K17</f>
        <v>2231084</v>
      </c>
      <c r="D17" s="151">
        <f>L17</f>
        <v>2198846</v>
      </c>
      <c r="E17" s="162">
        <f t="shared" ref="E17:E23" si="0">(D17/C17)</f>
        <v>0.98555052162984447</v>
      </c>
      <c r="F17" s="152">
        <f t="shared" ref="F17:F22" si="1">D17-G17</f>
        <v>1083304</v>
      </c>
      <c r="G17" s="14">
        <f>C17*0.5</f>
        <v>1115542</v>
      </c>
      <c r="H17" s="15">
        <f t="shared" ref="H17:H21" si="2">C17-D17</f>
        <v>32238</v>
      </c>
      <c r="I17" s="10">
        <v>0.5</v>
      </c>
      <c r="J17" s="21" t="str">
        <f t="shared" ref="J17:J22" si="3">A17</f>
        <v>Current / Delinquent Taxes</v>
      </c>
      <c r="K17" s="129">
        <v>2231084</v>
      </c>
      <c r="L17" s="129">
        <v>2198846</v>
      </c>
      <c r="M17" s="141">
        <f>L17/K17</f>
        <v>0.98555052162984447</v>
      </c>
      <c r="N17" s="129">
        <v>2160925</v>
      </c>
      <c r="O17" s="129">
        <v>2132779</v>
      </c>
      <c r="P17" s="141">
        <v>0.98697502227055545</v>
      </c>
      <c r="Q17" s="129">
        <v>0</v>
      </c>
      <c r="R17" s="129">
        <v>0</v>
      </c>
      <c r="S17" s="11">
        <v>0</v>
      </c>
      <c r="T17" s="140" t="e">
        <v>#DIV/0!</v>
      </c>
      <c r="U17" s="11">
        <v>4337995</v>
      </c>
      <c r="V17" s="11">
        <v>4196940.17</v>
      </c>
      <c r="W17" s="11">
        <v>4339903</v>
      </c>
      <c r="X17" s="12">
        <v>0.96705851951068955</v>
      </c>
      <c r="Y17" s="11">
        <v>4070011</v>
      </c>
      <c r="Z17" s="11">
        <v>3954561.81</v>
      </c>
      <c r="AA17" s="11">
        <v>4095648.34</v>
      </c>
      <c r="AB17" s="12">
        <v>0.96555208887880262</v>
      </c>
      <c r="AC17" s="11">
        <v>762480</v>
      </c>
      <c r="AD17" s="11">
        <v>756404.02</v>
      </c>
      <c r="AE17" s="11">
        <v>788839.59</v>
      </c>
      <c r="AF17" s="12">
        <v>0.95888191919982113</v>
      </c>
    </row>
    <row r="18" spans="1:32" ht="15.75" customHeight="1">
      <c r="A18" s="172" t="s">
        <v>66</v>
      </c>
      <c r="B18" s="172"/>
      <c r="C18" s="153">
        <f t="shared" ref="C18:D22" si="4">K18</f>
        <v>0</v>
      </c>
      <c r="D18" s="153">
        <f t="shared" si="4"/>
        <v>1431</v>
      </c>
      <c r="E18" s="162">
        <v>1</v>
      </c>
      <c r="F18" s="153">
        <f>D18-G18</f>
        <v>1431</v>
      </c>
      <c r="G18" s="14">
        <f t="shared" ref="G18:G23" si="5">C18*0.5</f>
        <v>0</v>
      </c>
      <c r="H18" s="27">
        <v>0</v>
      </c>
      <c r="I18" s="10">
        <v>0.5</v>
      </c>
      <c r="J18" s="21" t="str">
        <f t="shared" si="3"/>
        <v>License / Permits</v>
      </c>
      <c r="K18" s="129">
        <v>0</v>
      </c>
      <c r="L18" s="129">
        <v>1431</v>
      </c>
      <c r="M18" s="141">
        <v>1</v>
      </c>
      <c r="N18" s="129">
        <v>1300</v>
      </c>
      <c r="O18" s="129">
        <v>567</v>
      </c>
      <c r="P18" s="141">
        <v>0.43615384615384617</v>
      </c>
      <c r="Q18" s="129">
        <v>2000</v>
      </c>
      <c r="R18" s="129">
        <v>684</v>
      </c>
      <c r="S18" s="28">
        <v>1431</v>
      </c>
      <c r="T18" s="141">
        <v>0.4779874213836478</v>
      </c>
      <c r="U18" s="16">
        <v>1854</v>
      </c>
      <c r="V18" s="28">
        <v>630</v>
      </c>
      <c r="W18" s="28">
        <v>1656</v>
      </c>
      <c r="X18" s="12">
        <v>0.38043478260869568</v>
      </c>
      <c r="Y18" s="28">
        <v>3000</v>
      </c>
      <c r="Z18" s="28">
        <v>900</v>
      </c>
      <c r="AA18" s="28">
        <v>1476</v>
      </c>
      <c r="AB18" s="12">
        <v>0.6097560975609756</v>
      </c>
      <c r="AC18" s="28">
        <v>7500</v>
      </c>
      <c r="AD18" s="28">
        <v>1260</v>
      </c>
      <c r="AE18" s="28">
        <v>3209</v>
      </c>
      <c r="AF18" s="12">
        <v>0.39264568401371142</v>
      </c>
    </row>
    <row r="19" spans="1:32" ht="24.75" customHeight="1">
      <c r="A19" s="172" t="s">
        <v>2</v>
      </c>
      <c r="B19" s="172"/>
      <c r="C19" s="153">
        <f t="shared" si="4"/>
        <v>15007621</v>
      </c>
      <c r="D19" s="153">
        <f t="shared" si="4"/>
        <v>5500208</v>
      </c>
      <c r="E19" s="162">
        <f t="shared" si="0"/>
        <v>0.36649432978084934</v>
      </c>
      <c r="F19" s="153">
        <f t="shared" si="1"/>
        <v>-2003602.5</v>
      </c>
      <c r="G19" s="14">
        <f t="shared" si="5"/>
        <v>7503810.5</v>
      </c>
      <c r="H19" s="27">
        <f t="shared" si="2"/>
        <v>9507413</v>
      </c>
      <c r="I19" s="10">
        <v>0.5</v>
      </c>
      <c r="J19" s="21" t="str">
        <f t="shared" si="3"/>
        <v>Fees/Charges for Services</v>
      </c>
      <c r="K19" s="129">
        <v>15007621</v>
      </c>
      <c r="L19" s="129">
        <f>158848+5341360</f>
        <v>5500208</v>
      </c>
      <c r="M19" s="141">
        <f t="shared" ref="M19:M23" si="6">L19/K19</f>
        <v>0.36649432978084934</v>
      </c>
      <c r="N19" s="129">
        <v>13214500</v>
      </c>
      <c r="O19" s="129">
        <v>5532969.7999999998</v>
      </c>
      <c r="P19" s="141">
        <v>0.4187044383064058</v>
      </c>
      <c r="Q19" s="129">
        <v>13169000</v>
      </c>
      <c r="R19" s="129">
        <v>5652315</v>
      </c>
      <c r="S19" s="28">
        <v>13131612</v>
      </c>
      <c r="T19" s="141">
        <v>0.43043573020585746</v>
      </c>
      <c r="U19" s="16">
        <v>12094490</v>
      </c>
      <c r="V19" s="28">
        <v>5724813.4099999992</v>
      </c>
      <c r="W19" s="28">
        <v>12252721</v>
      </c>
      <c r="X19" s="12">
        <v>0.46722792512781441</v>
      </c>
      <c r="Y19" s="28">
        <v>11806400</v>
      </c>
      <c r="Z19" s="28">
        <v>6735300.7800000003</v>
      </c>
      <c r="AA19" s="28">
        <v>13237833.390000001</v>
      </c>
      <c r="AB19" s="12">
        <v>0.50879177744357451</v>
      </c>
      <c r="AC19" s="28">
        <v>11740700</v>
      </c>
      <c r="AD19" s="28">
        <v>7275137.5700000012</v>
      </c>
      <c r="AE19" s="28">
        <v>13297241.34</v>
      </c>
      <c r="AF19" s="12">
        <v>0.54711630660679589</v>
      </c>
    </row>
    <row r="20" spans="1:32" ht="15.75" customHeight="1">
      <c r="A20" s="172" t="s">
        <v>4</v>
      </c>
      <c r="B20" s="172"/>
      <c r="C20" s="153">
        <f t="shared" si="4"/>
        <v>1707212</v>
      </c>
      <c r="D20" s="153">
        <f t="shared" si="4"/>
        <v>917460</v>
      </c>
      <c r="E20" s="162">
        <f t="shared" si="0"/>
        <v>0.53740250185682858</v>
      </c>
      <c r="F20" s="153">
        <f t="shared" si="1"/>
        <v>63854</v>
      </c>
      <c r="G20" s="14">
        <f t="shared" si="5"/>
        <v>853606</v>
      </c>
      <c r="H20" s="27">
        <f t="shared" si="2"/>
        <v>789752</v>
      </c>
      <c r="I20" s="10">
        <v>0.5</v>
      </c>
      <c r="J20" s="21" t="str">
        <f t="shared" si="3"/>
        <v>Fines</v>
      </c>
      <c r="K20" s="129">
        <v>1707212</v>
      </c>
      <c r="L20" s="129">
        <v>917460</v>
      </c>
      <c r="M20" s="141">
        <f t="shared" si="6"/>
        <v>0.53740250185682858</v>
      </c>
      <c r="N20" s="129">
        <v>1741500</v>
      </c>
      <c r="O20" s="129">
        <v>881429</v>
      </c>
      <c r="P20" s="141">
        <v>0.50613207005455063</v>
      </c>
      <c r="Q20" s="129">
        <v>2066000</v>
      </c>
      <c r="R20" s="129">
        <v>810059</v>
      </c>
      <c r="S20" s="28">
        <v>1819075</v>
      </c>
      <c r="T20" s="141">
        <v>0.44531368964995943</v>
      </c>
      <c r="U20" s="16">
        <v>2295355</v>
      </c>
      <c r="V20" s="28">
        <v>853428.09</v>
      </c>
      <c r="W20" s="28">
        <v>2025223</v>
      </c>
      <c r="X20" s="12">
        <v>0.42139956439364945</v>
      </c>
      <c r="Y20" s="28">
        <v>1904500</v>
      </c>
      <c r="Z20" s="28">
        <v>1065360.77</v>
      </c>
      <c r="AA20" s="28">
        <v>2213669.08</v>
      </c>
      <c r="AB20" s="12">
        <v>0.48126469291426338</v>
      </c>
      <c r="AC20" s="28">
        <v>2042325</v>
      </c>
      <c r="AD20" s="28">
        <v>382505.06000000006</v>
      </c>
      <c r="AE20" s="28">
        <v>2340429.91</v>
      </c>
      <c r="AF20" s="12">
        <v>0.1634336744568437</v>
      </c>
    </row>
    <row r="21" spans="1:32" ht="15.75" customHeight="1">
      <c r="A21" s="172" t="s">
        <v>3</v>
      </c>
      <c r="B21" s="172"/>
      <c r="C21" s="153">
        <f t="shared" si="4"/>
        <v>140000</v>
      </c>
      <c r="D21" s="153">
        <f t="shared" si="4"/>
        <v>52657</v>
      </c>
      <c r="E21" s="162">
        <f t="shared" si="0"/>
        <v>0.37612142857142855</v>
      </c>
      <c r="F21" s="153">
        <f t="shared" si="1"/>
        <v>-17343</v>
      </c>
      <c r="G21" s="14">
        <f t="shared" si="5"/>
        <v>70000</v>
      </c>
      <c r="H21" s="27">
        <f t="shared" si="2"/>
        <v>87343</v>
      </c>
      <c r="I21" s="10">
        <v>0.5</v>
      </c>
      <c r="J21" s="21" t="str">
        <f t="shared" si="3"/>
        <v>Investment Revenue</v>
      </c>
      <c r="K21" s="129">
        <v>140000</v>
      </c>
      <c r="L21" s="129">
        <v>52657</v>
      </c>
      <c r="M21" s="141">
        <f t="shared" si="6"/>
        <v>0.37612142857142855</v>
      </c>
      <c r="N21" s="129">
        <v>180000</v>
      </c>
      <c r="O21" s="129">
        <v>65799</v>
      </c>
      <c r="P21" s="141">
        <v>0.36554999999999999</v>
      </c>
      <c r="Q21" s="129">
        <v>120000</v>
      </c>
      <c r="R21" s="129">
        <v>94928</v>
      </c>
      <c r="S21" s="28">
        <v>194336</v>
      </c>
      <c r="T21" s="141">
        <v>0.48847357154618803</v>
      </c>
      <c r="U21" s="16">
        <v>280881</v>
      </c>
      <c r="V21" s="28">
        <v>93456.47</v>
      </c>
      <c r="W21" s="28">
        <v>222534</v>
      </c>
      <c r="X21" s="12">
        <v>0.41996490423935218</v>
      </c>
      <c r="Y21" s="28">
        <v>305000</v>
      </c>
      <c r="Z21" s="28">
        <v>142656.41999999998</v>
      </c>
      <c r="AA21" s="28">
        <v>284617.61</v>
      </c>
      <c r="AB21" s="12">
        <v>0.50122134045043798</v>
      </c>
      <c r="AC21" s="28">
        <v>572500</v>
      </c>
      <c r="AD21" s="28">
        <v>224414.43</v>
      </c>
      <c r="AE21" s="28">
        <v>457042.89</v>
      </c>
      <c r="AF21" s="12">
        <v>0.49101393963266771</v>
      </c>
    </row>
    <row r="22" spans="1:32" ht="15.75" customHeight="1" thickBot="1">
      <c r="A22" s="172" t="s">
        <v>203</v>
      </c>
      <c r="B22" s="172"/>
      <c r="C22" s="153">
        <f t="shared" si="4"/>
        <v>5000</v>
      </c>
      <c r="D22" s="153">
        <f t="shared" si="4"/>
        <v>115122</v>
      </c>
      <c r="E22" s="162">
        <f t="shared" si="0"/>
        <v>23.0244</v>
      </c>
      <c r="F22" s="153">
        <f t="shared" si="1"/>
        <v>112622</v>
      </c>
      <c r="G22" s="14">
        <f t="shared" si="5"/>
        <v>2500</v>
      </c>
      <c r="H22" s="27">
        <v>0</v>
      </c>
      <c r="I22" s="10">
        <v>0.5</v>
      </c>
      <c r="J22" s="21" t="str">
        <f t="shared" si="3"/>
        <v>Misc./Proceeds F/A Disp</v>
      </c>
      <c r="K22" s="130">
        <v>5000</v>
      </c>
      <c r="L22" s="130">
        <f>8289+90000+16833</f>
        <v>115122</v>
      </c>
      <c r="M22" s="142">
        <f t="shared" si="6"/>
        <v>23.0244</v>
      </c>
      <c r="N22" s="130">
        <v>15000</v>
      </c>
      <c r="O22" s="130">
        <v>179416.64</v>
      </c>
      <c r="P22" s="142">
        <v>11.961109333333335</v>
      </c>
      <c r="Q22" s="130">
        <v>25000</v>
      </c>
      <c r="R22" s="130">
        <v>3904</v>
      </c>
      <c r="S22" s="53">
        <v>58304</v>
      </c>
      <c r="T22" s="142">
        <v>6.6959385290889128E-2</v>
      </c>
      <c r="U22" s="52">
        <v>25400</v>
      </c>
      <c r="V22" s="53">
        <v>37758.550000000003</v>
      </c>
      <c r="W22" s="53">
        <v>65505</v>
      </c>
      <c r="X22" s="77">
        <v>0.57642241050301513</v>
      </c>
      <c r="Y22" s="53">
        <v>117000</v>
      </c>
      <c r="Z22" s="53">
        <v>14288.72</v>
      </c>
      <c r="AA22" s="53">
        <v>65838.240000000005</v>
      </c>
      <c r="AB22" s="77">
        <v>0.21702767267168743</v>
      </c>
      <c r="AC22" s="53">
        <v>90000</v>
      </c>
      <c r="AD22" s="53">
        <v>318181.45999999996</v>
      </c>
      <c r="AE22" s="53">
        <v>363410.55000000005</v>
      </c>
      <c r="AF22" s="77">
        <v>0.87554271608240297</v>
      </c>
    </row>
    <row r="23" spans="1:32" ht="15.75" customHeight="1" thickBot="1">
      <c r="A23" s="173" t="s">
        <v>22</v>
      </c>
      <c r="B23" s="173"/>
      <c r="C23" s="151">
        <f>SUM(C17:C22)</f>
        <v>19090917</v>
      </c>
      <c r="D23" s="151">
        <f>SUM(D17:D22)</f>
        <v>8785724</v>
      </c>
      <c r="E23" s="162">
        <f t="shared" si="0"/>
        <v>0.46020439982008199</v>
      </c>
      <c r="F23" s="154">
        <f>SUM(F17:F22)</f>
        <v>-759734.5</v>
      </c>
      <c r="G23" s="14">
        <f t="shared" si="5"/>
        <v>9545458.5</v>
      </c>
      <c r="H23" s="27"/>
      <c r="J23" s="21"/>
      <c r="K23" s="128">
        <f>SUM(K17:K22)</f>
        <v>19090917</v>
      </c>
      <c r="L23" s="51">
        <f>SUM(L17:L22)</f>
        <v>8785724</v>
      </c>
      <c r="M23" s="143">
        <f t="shared" si="6"/>
        <v>0.46020439982008199</v>
      </c>
      <c r="N23" s="128">
        <v>17313225</v>
      </c>
      <c r="O23" s="51">
        <v>8792960.4400000013</v>
      </c>
      <c r="P23" s="143">
        <v>0.50787536348658335</v>
      </c>
      <c r="Q23" s="128">
        <v>15382000</v>
      </c>
      <c r="R23" s="51">
        <v>6561890</v>
      </c>
      <c r="S23" s="51">
        <v>15204758</v>
      </c>
      <c r="T23" s="143">
        <v>0.43156819727088058</v>
      </c>
      <c r="U23" s="51">
        <v>19035975</v>
      </c>
      <c r="V23" s="51">
        <v>10907026.689999999</v>
      </c>
      <c r="W23" s="51">
        <v>18907542</v>
      </c>
      <c r="X23" s="78">
        <v>0.57686116418517008</v>
      </c>
      <c r="Y23" s="51">
        <v>18205911</v>
      </c>
      <c r="Z23" s="51">
        <v>11913068.5</v>
      </c>
      <c r="AA23" s="51">
        <v>19899082.66</v>
      </c>
      <c r="AB23" s="78">
        <v>0.59867425567043697</v>
      </c>
      <c r="AC23" s="51">
        <v>15215505</v>
      </c>
      <c r="AD23" s="51">
        <v>8957902.5400000028</v>
      </c>
      <c r="AE23" s="51">
        <v>17250173.280000001</v>
      </c>
      <c r="AF23" s="78">
        <v>0.51929348155510247</v>
      </c>
    </row>
    <row r="24" spans="1:32" ht="22.5" customHeight="1" thickTop="1">
      <c r="A24" s="147"/>
      <c r="B24" s="147"/>
      <c r="C24" s="147"/>
      <c r="D24" s="147"/>
      <c r="E24" s="147"/>
      <c r="F24" s="147"/>
      <c r="J24" s="21"/>
      <c r="K24" s="21"/>
      <c r="L24" s="21"/>
      <c r="M24" s="21"/>
      <c r="N24" s="26"/>
    </row>
    <row r="25" spans="1:32" ht="15.75">
      <c r="A25" s="147"/>
      <c r="B25" s="147"/>
      <c r="C25" s="147"/>
      <c r="D25" s="147"/>
      <c r="E25" s="147"/>
      <c r="F25" s="147"/>
      <c r="J25" s="21"/>
      <c r="K25" s="21"/>
      <c r="L25" s="21"/>
      <c r="M25" s="21"/>
      <c r="N25" s="26"/>
      <c r="O25" s="15"/>
    </row>
    <row r="26" spans="1:32" ht="15.75">
      <c r="A26" s="147"/>
      <c r="B26" s="147"/>
      <c r="C26" s="147"/>
      <c r="D26" s="147"/>
      <c r="E26" s="147"/>
      <c r="F26" s="147"/>
    </row>
    <row r="27" spans="1:32" ht="15.75">
      <c r="A27" s="147"/>
      <c r="B27" s="147"/>
      <c r="C27" s="147"/>
      <c r="D27" s="147"/>
      <c r="E27" s="147"/>
      <c r="F27" s="147"/>
    </row>
    <row r="28" spans="1:32" ht="15.75">
      <c r="A28" s="147"/>
      <c r="B28" s="147"/>
      <c r="C28" s="147"/>
      <c r="D28" s="147"/>
      <c r="E28" s="147"/>
      <c r="F28" s="147"/>
    </row>
    <row r="29" spans="1:32" ht="15.75">
      <c r="A29" s="147"/>
      <c r="B29" s="147"/>
      <c r="C29" s="147"/>
      <c r="D29" s="147"/>
      <c r="E29" s="147"/>
      <c r="F29" s="147"/>
    </row>
    <row r="30" spans="1:32" ht="15.75">
      <c r="A30" s="147"/>
      <c r="B30" s="147"/>
      <c r="C30" s="147"/>
      <c r="D30" s="147"/>
      <c r="E30" s="147"/>
      <c r="F30" s="147"/>
    </row>
    <row r="31" spans="1:32" ht="15.75">
      <c r="A31" s="147"/>
      <c r="B31" s="147"/>
      <c r="C31" s="147"/>
      <c r="D31" s="147"/>
      <c r="E31" s="147"/>
      <c r="F31" s="147"/>
    </row>
    <row r="32" spans="1:32" ht="15.75">
      <c r="A32" s="147"/>
      <c r="B32" s="147"/>
      <c r="C32" s="147"/>
      <c r="D32" s="147"/>
      <c r="E32" s="147"/>
      <c r="F32" s="147"/>
    </row>
    <row r="33" spans="1:37" ht="15.75">
      <c r="A33" s="147"/>
      <c r="B33" s="147"/>
      <c r="C33" s="147"/>
      <c r="D33" s="147"/>
      <c r="E33" s="147"/>
      <c r="F33" s="147"/>
    </row>
    <row r="34" spans="1:37" ht="15.75">
      <c r="A34" s="147"/>
      <c r="B34" s="147"/>
      <c r="C34" s="147"/>
      <c r="D34" s="147"/>
      <c r="E34" s="147"/>
      <c r="F34" s="147"/>
    </row>
    <row r="35" spans="1:37" ht="15.75">
      <c r="A35" s="147"/>
      <c r="B35" s="147"/>
      <c r="C35" s="147"/>
      <c r="D35" s="147"/>
      <c r="E35" s="147"/>
      <c r="F35" s="147"/>
    </row>
    <row r="36" spans="1:37" ht="15.75">
      <c r="A36" s="147"/>
      <c r="B36" s="147"/>
      <c r="C36" s="147"/>
      <c r="D36" s="147"/>
      <c r="E36" s="147"/>
      <c r="F36" s="147"/>
    </row>
    <row r="37" spans="1:37" ht="15.75">
      <c r="A37" s="147"/>
      <c r="B37" s="147"/>
      <c r="C37" s="147"/>
      <c r="D37" s="147"/>
      <c r="E37" s="147"/>
      <c r="F37" s="147"/>
    </row>
    <row r="38" spans="1:37" ht="15.75">
      <c r="A38" s="147"/>
      <c r="B38" s="147"/>
      <c r="C38" s="147"/>
      <c r="D38" s="147"/>
      <c r="E38" s="147"/>
      <c r="F38" s="147"/>
    </row>
    <row r="39" spans="1:37" ht="15.75">
      <c r="A39" s="147"/>
      <c r="B39" s="147"/>
      <c r="C39" s="147"/>
      <c r="D39" s="147"/>
      <c r="E39" s="147"/>
      <c r="F39" s="147"/>
      <c r="J39" s="65"/>
      <c r="K39" s="65"/>
      <c r="L39" s="65"/>
      <c r="M39" s="65"/>
      <c r="N39" s="65"/>
    </row>
    <row r="40" spans="1:37" ht="15.75">
      <c r="A40" s="147"/>
      <c r="B40" s="147"/>
      <c r="C40" s="147"/>
      <c r="D40" s="147"/>
      <c r="E40" s="147"/>
      <c r="F40" s="147"/>
      <c r="J40" s="65"/>
      <c r="K40" s="65"/>
      <c r="L40" s="65"/>
      <c r="M40" s="65"/>
      <c r="N40" s="65"/>
    </row>
    <row r="41" spans="1:37" ht="15.75">
      <c r="A41" s="147"/>
      <c r="B41" s="147"/>
      <c r="C41" s="147"/>
      <c r="D41" s="147"/>
      <c r="E41" s="147"/>
      <c r="F41" s="147"/>
      <c r="J41" s="65"/>
      <c r="K41" s="65"/>
      <c r="L41" s="65"/>
      <c r="M41" s="65"/>
      <c r="N41" s="65"/>
    </row>
    <row r="42" spans="1:37" ht="15.75">
      <c r="A42" s="147"/>
      <c r="B42" s="147"/>
      <c r="C42" s="147"/>
      <c r="D42" s="147"/>
      <c r="E42" s="147"/>
      <c r="F42" s="147"/>
      <c r="J42" s="65"/>
      <c r="K42" s="65"/>
      <c r="L42" s="65"/>
      <c r="M42" s="65"/>
      <c r="N42" s="65"/>
    </row>
    <row r="43" spans="1:37" ht="15.75">
      <c r="A43" s="147"/>
      <c r="B43" s="147"/>
      <c r="C43" s="147"/>
      <c r="D43" s="147"/>
      <c r="E43" s="147"/>
      <c r="F43" s="147"/>
      <c r="J43" s="65"/>
      <c r="K43" s="65"/>
      <c r="L43" s="65"/>
      <c r="M43" s="65"/>
      <c r="N43" s="65"/>
    </row>
    <row r="44" spans="1:37" ht="15.75">
      <c r="A44" s="147"/>
      <c r="B44" s="147"/>
      <c r="C44" s="147"/>
      <c r="D44" s="147"/>
      <c r="E44" s="147"/>
      <c r="F44" s="147"/>
      <c r="J44" s="65"/>
      <c r="K44" s="65"/>
      <c r="L44" s="65"/>
      <c r="M44" s="65"/>
      <c r="N44" s="65"/>
    </row>
    <row r="45" spans="1:37" ht="33" customHeight="1">
      <c r="A45" s="174" t="s">
        <v>88</v>
      </c>
      <c r="B45" s="174"/>
      <c r="C45" s="174"/>
      <c r="D45" s="174"/>
      <c r="E45" s="174"/>
      <c r="F45" s="174"/>
      <c r="J45" s="65"/>
      <c r="K45" s="65"/>
      <c r="L45" s="65"/>
      <c r="M45" s="65"/>
      <c r="N45" s="65"/>
    </row>
    <row r="46" spans="1:37" ht="12" customHeight="1">
      <c r="A46" s="147"/>
      <c r="B46" s="146"/>
      <c r="C46" s="146"/>
      <c r="D46" s="146"/>
      <c r="E46" s="146"/>
      <c r="F46" s="147"/>
      <c r="J46" s="65"/>
      <c r="K46" s="65"/>
      <c r="L46" s="65"/>
      <c r="M46" s="65"/>
      <c r="N46" s="65"/>
    </row>
    <row r="47" spans="1:37" ht="36" customHeight="1">
      <c r="A47" s="167"/>
      <c r="B47" s="167"/>
      <c r="C47" s="164" t="s">
        <v>189</v>
      </c>
      <c r="D47" s="164" t="s">
        <v>204</v>
      </c>
      <c r="E47" s="164" t="s">
        <v>19</v>
      </c>
      <c r="F47" s="145" t="s">
        <v>201</v>
      </c>
      <c r="G47" s="10">
        <v>0.5</v>
      </c>
      <c r="H47" s="2" t="s">
        <v>32</v>
      </c>
      <c r="K47" s="79" t="s">
        <v>189</v>
      </c>
      <c r="L47" s="75" t="s">
        <v>205</v>
      </c>
      <c r="M47" s="76">
        <v>2013</v>
      </c>
      <c r="N47" s="79" t="s">
        <v>154</v>
      </c>
      <c r="O47" s="75" t="s">
        <v>163</v>
      </c>
      <c r="P47" s="76">
        <v>2012</v>
      </c>
      <c r="Q47" s="75" t="s">
        <v>156</v>
      </c>
      <c r="R47" s="79" t="s">
        <v>113</v>
      </c>
      <c r="S47" s="75" t="s">
        <v>164</v>
      </c>
      <c r="T47" s="76">
        <v>2011</v>
      </c>
      <c r="U47" s="75" t="s">
        <v>115</v>
      </c>
      <c r="V47" s="79" t="s">
        <v>65</v>
      </c>
      <c r="W47" s="75" t="s">
        <v>128</v>
      </c>
      <c r="X47" s="76">
        <v>2010</v>
      </c>
      <c r="Y47" s="75" t="s">
        <v>79</v>
      </c>
      <c r="Z47" s="75" t="s">
        <v>1</v>
      </c>
      <c r="AA47" s="75" t="s">
        <v>127</v>
      </c>
      <c r="AB47" s="76">
        <v>2009</v>
      </c>
      <c r="AC47" s="75" t="s">
        <v>81</v>
      </c>
      <c r="AD47" s="75">
        <v>2009</v>
      </c>
      <c r="AE47" s="75" t="s">
        <v>82</v>
      </c>
      <c r="AF47" s="75" t="s">
        <v>74</v>
      </c>
      <c r="AG47" s="75" t="s">
        <v>165</v>
      </c>
      <c r="AH47" s="76">
        <v>2008</v>
      </c>
      <c r="AI47" s="75" t="s">
        <v>84</v>
      </c>
      <c r="AJ47" s="75">
        <v>2008</v>
      </c>
      <c r="AK47" s="75" t="s">
        <v>85</v>
      </c>
    </row>
    <row r="48" spans="1:37" ht="15.75" customHeight="1">
      <c r="A48" s="168" t="s">
        <v>23</v>
      </c>
      <c r="B48" s="169"/>
      <c r="C48" s="151">
        <f t="shared" ref="C48:D50" si="7">K48</f>
        <v>44035</v>
      </c>
      <c r="D48" s="151">
        <f t="shared" si="7"/>
        <v>53172</v>
      </c>
      <c r="E48" s="162">
        <f>(D48/C48)</f>
        <v>1.2074940388327466</v>
      </c>
      <c r="F48" s="153">
        <f>+G48-D48</f>
        <v>-31154.5</v>
      </c>
      <c r="G48" s="23">
        <f>C48*0.5</f>
        <v>22017.5</v>
      </c>
      <c r="H48" s="24">
        <v>0</v>
      </c>
      <c r="I48" s="1">
        <v>0.5</v>
      </c>
      <c r="J48" s="65" t="str">
        <f>A48</f>
        <v>Conservation</v>
      </c>
      <c r="K48" s="129">
        <v>44035</v>
      </c>
      <c r="L48" s="129">
        <v>53172</v>
      </c>
      <c r="M48" s="131">
        <f>L48/K48</f>
        <v>1.2074940388327466</v>
      </c>
      <c r="N48" s="129">
        <v>44035</v>
      </c>
      <c r="O48" s="129">
        <v>0</v>
      </c>
      <c r="P48" s="131">
        <v>0</v>
      </c>
      <c r="Q48" s="13">
        <v>44035</v>
      </c>
      <c r="R48" s="129">
        <v>44035</v>
      </c>
      <c r="S48" s="129">
        <v>0</v>
      </c>
      <c r="T48" s="131">
        <v>0</v>
      </c>
      <c r="U48" s="13">
        <v>44035</v>
      </c>
      <c r="V48" s="13">
        <v>44035</v>
      </c>
      <c r="W48" s="13">
        <v>1783.36</v>
      </c>
      <c r="X48" s="80">
        <v>4.0498694220506413E-2</v>
      </c>
      <c r="Y48" s="13">
        <v>42251.64</v>
      </c>
      <c r="Z48" s="13">
        <v>44035</v>
      </c>
      <c r="AA48" s="13">
        <v>34213.74</v>
      </c>
      <c r="AB48" s="80">
        <v>0.77696695810151006</v>
      </c>
      <c r="AC48" s="13">
        <v>217718</v>
      </c>
      <c r="AD48" s="80">
        <v>0.1571470434231437</v>
      </c>
      <c r="AE48" s="13">
        <v>9821.260000000002</v>
      </c>
      <c r="AF48" s="13">
        <v>44035</v>
      </c>
      <c r="AG48" s="13">
        <v>22262.080000000002</v>
      </c>
      <c r="AH48" s="80">
        <v>0.50555421823549451</v>
      </c>
      <c r="AI48" s="13">
        <v>401290</v>
      </c>
      <c r="AJ48" s="80">
        <v>5.547628896807795E-2</v>
      </c>
      <c r="AK48" s="13">
        <v>21772.92</v>
      </c>
    </row>
    <row r="49" spans="1:37" ht="15.75" customHeight="1">
      <c r="A49" s="168" t="s">
        <v>102</v>
      </c>
      <c r="B49" s="169"/>
      <c r="C49" s="153">
        <f t="shared" si="7"/>
        <v>20500895</v>
      </c>
      <c r="D49" s="153">
        <f t="shared" si="7"/>
        <v>8228702</v>
      </c>
      <c r="E49" s="162">
        <f>(D49/C49)</f>
        <v>0.40138257378519326</v>
      </c>
      <c r="F49" s="153">
        <f>+G49-D49</f>
        <v>2021745.5</v>
      </c>
      <c r="G49" s="23">
        <f t="shared" ref="G49:G51" si="8">C49*0.5</f>
        <v>10250447.5</v>
      </c>
      <c r="H49" s="25">
        <f>C49-D49</f>
        <v>12272193</v>
      </c>
      <c r="I49" s="1">
        <v>0.5</v>
      </c>
      <c r="J49" s="65" t="str">
        <f>A49</f>
        <v>Public Transport</v>
      </c>
      <c r="K49" s="129">
        <v>20500895</v>
      </c>
      <c r="L49" s="129">
        <v>8228702</v>
      </c>
      <c r="M49" s="131">
        <f>L49/K49</f>
        <v>0.40138257378519326</v>
      </c>
      <c r="N49" s="129">
        <v>19844693</v>
      </c>
      <c r="O49" s="129">
        <v>9006327.4900000002</v>
      </c>
      <c r="P49" s="131">
        <v>0.45384060564706141</v>
      </c>
      <c r="Q49" s="81">
        <v>10838365.51</v>
      </c>
      <c r="R49" s="129">
        <v>19188923</v>
      </c>
      <c r="S49" s="129">
        <v>7614979</v>
      </c>
      <c r="T49" s="131">
        <v>0.39684243873405506</v>
      </c>
      <c r="U49" s="81">
        <v>11573944</v>
      </c>
      <c r="V49" s="81">
        <v>19347332</v>
      </c>
      <c r="W49" s="81">
        <v>6630607.8399999999</v>
      </c>
      <c r="X49" s="80">
        <v>0.34271432567549881</v>
      </c>
      <c r="Y49" s="81">
        <v>12716724.16</v>
      </c>
      <c r="Z49" s="81">
        <v>19861346</v>
      </c>
      <c r="AA49" s="81">
        <v>6873001.1399999997</v>
      </c>
      <c r="AB49" s="80">
        <v>0.3460491116765198</v>
      </c>
      <c r="AC49" s="81">
        <v>23302893</v>
      </c>
      <c r="AD49" s="80">
        <v>0.29494196879331674</v>
      </c>
      <c r="AE49" s="13">
        <v>12988344.859999999</v>
      </c>
      <c r="AF49" s="81">
        <v>17022879</v>
      </c>
      <c r="AG49" s="81">
        <v>7347501.3100000005</v>
      </c>
      <c r="AH49" s="80">
        <v>0.43162506823904467</v>
      </c>
      <c r="AI49" s="81">
        <v>17022879</v>
      </c>
      <c r="AJ49" s="80">
        <v>0.43162506823904467</v>
      </c>
      <c r="AK49" s="13">
        <v>9675377.6899999995</v>
      </c>
    </row>
    <row r="50" spans="1:37" ht="15.75" customHeight="1" thickBot="1">
      <c r="A50" s="168" t="s">
        <v>21</v>
      </c>
      <c r="B50" s="169"/>
      <c r="C50" s="153">
        <f t="shared" si="7"/>
        <v>0</v>
      </c>
      <c r="D50" s="153">
        <f t="shared" si="7"/>
        <v>0</v>
      </c>
      <c r="E50" s="163" t="s">
        <v>117</v>
      </c>
      <c r="F50" s="153">
        <f>+G50-D50</f>
        <v>0</v>
      </c>
      <c r="G50" s="23">
        <f t="shared" si="8"/>
        <v>0</v>
      </c>
      <c r="H50" s="25">
        <f>C50-D50</f>
        <v>0</v>
      </c>
      <c r="I50" s="1">
        <v>0.5</v>
      </c>
      <c r="J50" s="65" t="s">
        <v>21</v>
      </c>
      <c r="K50" s="130">
        <v>0</v>
      </c>
      <c r="L50" s="130">
        <v>0</v>
      </c>
      <c r="M50" s="133" t="e">
        <f>L50/K50</f>
        <v>#DIV/0!</v>
      </c>
      <c r="N50" s="130">
        <v>0</v>
      </c>
      <c r="O50" s="130">
        <v>0</v>
      </c>
      <c r="P50" s="133" t="e">
        <v>#DIV/0!</v>
      </c>
      <c r="Q50" s="83">
        <v>0</v>
      </c>
      <c r="R50" s="130">
        <v>0</v>
      </c>
      <c r="S50" s="130">
        <v>0</v>
      </c>
      <c r="T50" s="133" t="e">
        <v>#DIV/0!</v>
      </c>
      <c r="U50" s="83">
        <v>0</v>
      </c>
      <c r="V50" s="83">
        <v>0</v>
      </c>
      <c r="W50" s="83">
        <v>0</v>
      </c>
      <c r="X50" s="77" t="e">
        <v>#DIV/0!</v>
      </c>
      <c r="Y50" s="83">
        <v>0</v>
      </c>
      <c r="Z50" s="83">
        <v>0</v>
      </c>
      <c r="AA50" s="83">
        <v>0</v>
      </c>
      <c r="AB50" s="77" t="e">
        <v>#DIV/0!</v>
      </c>
      <c r="AC50" s="83">
        <v>433900</v>
      </c>
      <c r="AD50" s="77">
        <v>0</v>
      </c>
      <c r="AE50" s="84">
        <v>0</v>
      </c>
      <c r="AF50" s="83">
        <v>0</v>
      </c>
      <c r="AG50" s="83">
        <v>0</v>
      </c>
      <c r="AH50" s="77" t="e">
        <v>#DIV/0!</v>
      </c>
      <c r="AI50" s="83">
        <v>0</v>
      </c>
      <c r="AJ50" s="77" t="e">
        <v>#DIV/0!</v>
      </c>
      <c r="AK50" s="84">
        <v>0</v>
      </c>
    </row>
    <row r="51" spans="1:37" ht="15.75" customHeight="1" thickBot="1">
      <c r="A51" s="170" t="s">
        <v>22</v>
      </c>
      <c r="B51" s="171"/>
      <c r="C51" s="151">
        <f>SUM(C48:C50)</f>
        <v>20544930</v>
      </c>
      <c r="D51" s="151">
        <f>SUM(D48:D50)</f>
        <v>8281874</v>
      </c>
      <c r="E51" s="162">
        <f>(D51/C51)</f>
        <v>0.40311035374664211</v>
      </c>
      <c r="F51" s="156">
        <f>+G51-D51</f>
        <v>1990591</v>
      </c>
      <c r="G51" s="23">
        <f t="shared" si="8"/>
        <v>10272465</v>
      </c>
      <c r="J51" s="50"/>
      <c r="K51" s="82">
        <f>SUM(K48:K50)</f>
        <v>20544930</v>
      </c>
      <c r="L51" s="82">
        <f>SUM(L48:L50)</f>
        <v>8281874</v>
      </c>
      <c r="M51" s="132">
        <f>L51/K51</f>
        <v>0.40311035374664211</v>
      </c>
      <c r="N51" s="82">
        <v>19888728</v>
      </c>
      <c r="O51" s="82">
        <v>9006327.4900000002</v>
      </c>
      <c r="P51" s="132">
        <v>0.45283577159886745</v>
      </c>
      <c r="Q51" s="82">
        <v>10882400.51</v>
      </c>
      <c r="R51" s="82">
        <v>19232958</v>
      </c>
      <c r="S51" s="82">
        <v>7614979</v>
      </c>
      <c r="T51" s="132">
        <v>0.39593384439356649</v>
      </c>
      <c r="U51" s="82">
        <v>11617979</v>
      </c>
      <c r="V51" s="82">
        <v>19391367</v>
      </c>
      <c r="W51" s="82">
        <v>6632391.2000000002</v>
      </c>
      <c r="X51" s="78">
        <v>0.34202803752824645</v>
      </c>
      <c r="Y51" s="82">
        <v>12758975.800000001</v>
      </c>
      <c r="Z51" s="82">
        <v>19905381</v>
      </c>
      <c r="AA51" s="82">
        <v>6907214.8799999999</v>
      </c>
      <c r="AB51" s="78">
        <v>0.34700239498053315</v>
      </c>
      <c r="AC51" s="82">
        <v>23954511</v>
      </c>
      <c r="AD51" s="78">
        <v>0.28834714597179628</v>
      </c>
      <c r="AE51" s="82">
        <v>12998166.119999999</v>
      </c>
      <c r="AF51" s="82">
        <v>17066914</v>
      </c>
      <c r="AG51" s="82">
        <v>7369763.3900000006</v>
      </c>
      <c r="AH51" s="78">
        <v>0.4318158156770463</v>
      </c>
      <c r="AI51" s="82">
        <v>17424169</v>
      </c>
      <c r="AJ51" s="78">
        <v>0.42296211601253414</v>
      </c>
      <c r="AK51" s="82">
        <v>9697150.6099999994</v>
      </c>
    </row>
    <row r="52" spans="1:37" ht="15.75" customHeight="1" thickTop="1">
      <c r="A52" s="157"/>
      <c r="B52" s="157"/>
      <c r="C52" s="158"/>
      <c r="D52" s="158"/>
      <c r="E52" s="159"/>
      <c r="F52" s="160"/>
      <c r="G52" s="14"/>
      <c r="J52" s="50"/>
      <c r="K52" s="50"/>
      <c r="L52" s="50"/>
      <c r="M52" s="50"/>
      <c r="N52" s="137"/>
      <c r="O52" s="137"/>
      <c r="P52" s="138"/>
      <c r="Q52" s="24"/>
      <c r="R52" s="24"/>
      <c r="S52" s="24"/>
      <c r="T52" s="136"/>
      <c r="U52" s="24"/>
      <c r="V52" s="24"/>
      <c r="W52" s="24"/>
      <c r="X52" s="136"/>
      <c r="Y52" s="24"/>
      <c r="Z52" s="136"/>
      <c r="AA52" s="24"/>
      <c r="AB52" s="24"/>
      <c r="AC52" s="24"/>
      <c r="AD52" s="136"/>
      <c r="AE52" s="24"/>
      <c r="AF52" s="136"/>
      <c r="AG52" s="24"/>
    </row>
    <row r="53" spans="1:37" ht="15.75">
      <c r="A53" s="147"/>
      <c r="B53" s="147"/>
      <c r="C53" s="147"/>
      <c r="D53" s="147"/>
      <c r="E53" s="147"/>
      <c r="F53" s="147"/>
    </row>
    <row r="54" spans="1:37" ht="15.75">
      <c r="A54" s="147"/>
      <c r="B54" s="147"/>
      <c r="C54" s="147"/>
      <c r="D54" s="147"/>
      <c r="E54" s="147"/>
      <c r="F54" s="147"/>
    </row>
    <row r="55" spans="1:37" ht="15.75">
      <c r="A55" s="147"/>
      <c r="B55" s="147"/>
      <c r="C55" s="147"/>
      <c r="D55" s="147"/>
      <c r="E55" s="147"/>
      <c r="F55" s="147"/>
    </row>
    <row r="56" spans="1:37" ht="15.75">
      <c r="A56" s="147"/>
      <c r="B56" s="147"/>
      <c r="C56" s="147"/>
      <c r="D56" s="147"/>
      <c r="E56" s="147"/>
      <c r="F56" s="147"/>
    </row>
    <row r="57" spans="1:37" ht="15.75">
      <c r="A57" s="147"/>
      <c r="B57" s="147"/>
      <c r="C57" s="147"/>
      <c r="D57" s="147"/>
      <c r="E57" s="147"/>
      <c r="F57" s="147"/>
    </row>
    <row r="58" spans="1:37" ht="15.75">
      <c r="A58" s="147"/>
      <c r="B58" s="147"/>
      <c r="C58" s="147"/>
      <c r="D58" s="147"/>
      <c r="E58" s="147"/>
      <c r="F58" s="147"/>
    </row>
    <row r="59" spans="1:37" ht="15.75">
      <c r="A59" s="147"/>
      <c r="B59" s="147"/>
      <c r="C59" s="147"/>
      <c r="D59" s="147"/>
      <c r="E59" s="147"/>
      <c r="F59" s="147"/>
    </row>
    <row r="60" spans="1:37" ht="15.75">
      <c r="A60" s="147"/>
      <c r="B60" s="147"/>
      <c r="C60" s="147"/>
      <c r="D60" s="147"/>
      <c r="E60" s="147"/>
      <c r="F60" s="147"/>
    </row>
    <row r="61" spans="1:37" ht="15.75">
      <c r="A61" s="147"/>
      <c r="B61" s="147"/>
      <c r="C61" s="147"/>
      <c r="D61" s="147"/>
      <c r="E61" s="147"/>
      <c r="F61" s="147"/>
    </row>
    <row r="62" spans="1:37" ht="15.75">
      <c r="A62" s="147"/>
      <c r="B62" s="147"/>
      <c r="C62" s="147"/>
      <c r="D62" s="147"/>
      <c r="E62" s="147"/>
      <c r="F62" s="147"/>
    </row>
    <row r="63" spans="1:37" ht="15.75">
      <c r="A63" s="147"/>
      <c r="B63" s="147"/>
      <c r="C63" s="147"/>
      <c r="D63" s="147"/>
      <c r="E63" s="147"/>
      <c r="F63" s="147"/>
    </row>
    <row r="64" spans="1:37" ht="15.75">
      <c r="A64" s="147"/>
      <c r="B64" s="147"/>
      <c r="C64" s="147"/>
      <c r="D64" s="147"/>
      <c r="E64" s="147"/>
      <c r="F64" s="147"/>
    </row>
    <row r="65" spans="1:6" ht="15.75">
      <c r="A65" s="147"/>
      <c r="B65" s="147"/>
      <c r="C65" s="147"/>
      <c r="D65" s="147"/>
      <c r="E65" s="147"/>
      <c r="F65" s="147"/>
    </row>
    <row r="66" spans="1:6" ht="15.75">
      <c r="A66" s="147"/>
      <c r="B66" s="147"/>
      <c r="C66" s="147"/>
      <c r="D66" s="147"/>
      <c r="E66" s="147"/>
      <c r="F66" s="147"/>
    </row>
    <row r="67" spans="1:6" ht="15.75">
      <c r="A67" s="147"/>
      <c r="B67" s="147"/>
      <c r="C67" s="147"/>
      <c r="D67" s="147"/>
      <c r="E67" s="147"/>
      <c r="F67" s="147"/>
    </row>
    <row r="68" spans="1:6" ht="15.75">
      <c r="A68" s="147"/>
      <c r="B68" s="147"/>
      <c r="C68" s="147"/>
      <c r="D68" s="147"/>
      <c r="E68" s="147"/>
      <c r="F68" s="147"/>
    </row>
    <row r="69" spans="1:6" ht="15.75">
      <c r="A69" s="147"/>
      <c r="B69" s="147"/>
      <c r="C69" s="147"/>
      <c r="D69" s="147"/>
      <c r="E69" s="147"/>
      <c r="F69" s="147"/>
    </row>
    <row r="70" spans="1:6" ht="15.75">
      <c r="A70" s="147"/>
      <c r="B70" s="147"/>
      <c r="C70" s="147"/>
      <c r="D70" s="147"/>
      <c r="E70" s="147"/>
      <c r="F70" s="147"/>
    </row>
    <row r="71" spans="1:6" ht="15.75">
      <c r="A71" s="147"/>
      <c r="B71" s="147"/>
      <c r="C71" s="147"/>
      <c r="D71" s="147"/>
      <c r="E71" s="147"/>
      <c r="F71" s="147"/>
    </row>
    <row r="72" spans="1:6" ht="15.75">
      <c r="A72" s="147"/>
      <c r="B72" s="147"/>
      <c r="C72" s="147"/>
      <c r="D72" s="147"/>
      <c r="E72" s="147"/>
      <c r="F72" s="147"/>
    </row>
    <row r="73" spans="1:6" ht="15.75">
      <c r="A73" s="147"/>
      <c r="B73" s="147"/>
      <c r="C73" s="147"/>
      <c r="D73" s="147"/>
      <c r="E73" s="147"/>
      <c r="F73" s="147"/>
    </row>
    <row r="74" spans="1:6" ht="15.75">
      <c r="A74" s="147"/>
      <c r="B74" s="147"/>
      <c r="C74" s="147"/>
      <c r="D74" s="147"/>
      <c r="E74" s="147"/>
      <c r="F74" s="147"/>
    </row>
    <row r="75" spans="1:6" ht="15.75">
      <c r="A75" s="147"/>
      <c r="B75" s="147"/>
      <c r="C75" s="147"/>
      <c r="D75" s="147"/>
      <c r="E75" s="147"/>
      <c r="F75" s="147"/>
    </row>
    <row r="76" spans="1:6" ht="15.75">
      <c r="A76" s="147"/>
      <c r="B76" s="147"/>
      <c r="C76" s="147"/>
      <c r="D76" s="147"/>
      <c r="E76" s="147"/>
      <c r="F76" s="147"/>
    </row>
    <row r="77" spans="1:6" ht="15.75">
      <c r="A77" s="147"/>
      <c r="B77" s="147"/>
      <c r="C77" s="147"/>
      <c r="D77" s="147"/>
      <c r="E77" s="147"/>
      <c r="F77" s="147"/>
    </row>
    <row r="78" spans="1:6" ht="15.75">
      <c r="A78" s="147"/>
      <c r="B78" s="147"/>
      <c r="C78" s="147"/>
      <c r="D78" s="147"/>
      <c r="E78" s="147"/>
      <c r="F78" s="147"/>
    </row>
    <row r="79" spans="1:6" ht="15.75">
      <c r="A79" s="147"/>
      <c r="B79" s="147"/>
      <c r="C79" s="147"/>
      <c r="D79" s="147"/>
      <c r="E79" s="147"/>
      <c r="F79" s="147"/>
    </row>
    <row r="80" spans="1:6" ht="15.75">
      <c r="A80" s="147"/>
      <c r="B80" s="147"/>
      <c r="C80" s="147"/>
      <c r="D80" s="147"/>
      <c r="E80" s="147"/>
      <c r="F80" s="147"/>
    </row>
    <row r="81" spans="1:6" ht="15.75">
      <c r="A81" s="147"/>
      <c r="B81" s="147"/>
      <c r="C81" s="147"/>
      <c r="D81" s="147"/>
      <c r="E81" s="147"/>
      <c r="F81" s="147"/>
    </row>
    <row r="82" spans="1:6" ht="15.75">
      <c r="A82" s="147"/>
      <c r="B82" s="147"/>
      <c r="C82" s="147"/>
      <c r="D82" s="147"/>
      <c r="E82" s="147"/>
      <c r="F82" s="147"/>
    </row>
    <row r="83" spans="1:6" ht="15.75">
      <c r="A83" s="147"/>
      <c r="B83" s="147"/>
      <c r="C83" s="147"/>
      <c r="D83" s="147"/>
      <c r="E83" s="147"/>
      <c r="F83" s="147"/>
    </row>
    <row r="84" spans="1:6" ht="15.75">
      <c r="A84" s="147"/>
      <c r="B84" s="147"/>
      <c r="C84" s="147"/>
      <c r="D84" s="147"/>
      <c r="E84" s="147"/>
      <c r="F84" s="147"/>
    </row>
    <row r="85" spans="1:6" ht="15.75">
      <c r="A85" s="147"/>
      <c r="B85" s="147"/>
      <c r="C85" s="147"/>
      <c r="D85" s="147"/>
      <c r="E85" s="147"/>
      <c r="F85" s="147"/>
    </row>
    <row r="86" spans="1:6" ht="15.75">
      <c r="A86" s="147"/>
      <c r="B86" s="147"/>
      <c r="C86" s="147"/>
      <c r="D86" s="147"/>
      <c r="E86" s="147"/>
      <c r="F86" s="147"/>
    </row>
    <row r="87" spans="1:6" ht="15.75">
      <c r="A87" s="147"/>
      <c r="B87" s="147"/>
      <c r="C87" s="147"/>
      <c r="D87" s="147"/>
      <c r="E87" s="147"/>
      <c r="F87" s="147"/>
    </row>
    <row r="88" spans="1:6" ht="15.75">
      <c r="A88" s="147"/>
      <c r="B88" s="147"/>
      <c r="C88" s="147"/>
      <c r="D88" s="147"/>
      <c r="E88" s="147"/>
      <c r="F88" s="147"/>
    </row>
    <row r="89" spans="1:6" ht="15.75">
      <c r="A89" s="147"/>
      <c r="B89" s="147"/>
      <c r="C89" s="147"/>
      <c r="D89" s="147"/>
      <c r="E89" s="147"/>
      <c r="F89" s="147"/>
    </row>
    <row r="90" spans="1:6" ht="15.75">
      <c r="A90" s="147"/>
      <c r="B90" s="147"/>
      <c r="C90" s="147"/>
      <c r="D90" s="147"/>
      <c r="E90" s="147"/>
      <c r="F90" s="147"/>
    </row>
    <row r="91" spans="1:6" ht="15.75">
      <c r="A91" s="147"/>
      <c r="B91" s="147"/>
      <c r="C91" s="147"/>
      <c r="D91" s="147"/>
      <c r="E91" s="147"/>
      <c r="F91" s="147"/>
    </row>
    <row r="92" spans="1:6" ht="15.75">
      <c r="A92" s="147"/>
      <c r="B92" s="147"/>
      <c r="C92" s="147"/>
      <c r="D92" s="147"/>
      <c r="E92" s="147"/>
      <c r="F92" s="147"/>
    </row>
    <row r="93" spans="1:6" ht="15.75">
      <c r="A93" s="147"/>
      <c r="B93" s="147"/>
      <c r="C93" s="147"/>
      <c r="D93" s="147"/>
      <c r="E93" s="147"/>
      <c r="F93" s="147"/>
    </row>
    <row r="94" spans="1:6" ht="15.75">
      <c r="A94" s="147"/>
      <c r="B94" s="147"/>
      <c r="C94" s="147"/>
      <c r="D94" s="147"/>
      <c r="E94" s="147"/>
      <c r="F94" s="147"/>
    </row>
    <row r="95" spans="1:6" ht="15.75">
      <c r="A95" s="147"/>
      <c r="B95" s="147"/>
      <c r="C95" s="147"/>
      <c r="D95" s="147"/>
      <c r="E95" s="147"/>
      <c r="F95" s="147"/>
    </row>
    <row r="96" spans="1:6" ht="15.75">
      <c r="A96" s="147"/>
      <c r="B96" s="147"/>
      <c r="C96" s="147"/>
      <c r="D96" s="147"/>
      <c r="E96" s="147"/>
      <c r="F96" s="147"/>
    </row>
    <row r="97" spans="1:6" ht="15.75">
      <c r="A97" s="147"/>
      <c r="B97" s="147"/>
      <c r="C97" s="147"/>
      <c r="D97" s="147"/>
      <c r="E97" s="147"/>
      <c r="F97" s="147"/>
    </row>
    <row r="98" spans="1:6" ht="15.75">
      <c r="A98" s="147"/>
      <c r="B98" s="147"/>
      <c r="C98" s="147"/>
      <c r="D98" s="147"/>
      <c r="E98" s="147"/>
      <c r="F98" s="147"/>
    </row>
    <row r="99" spans="1:6" ht="15.75">
      <c r="A99" s="147"/>
      <c r="B99" s="147"/>
      <c r="C99" s="147"/>
      <c r="D99" s="147"/>
      <c r="E99" s="147"/>
      <c r="F99" s="147"/>
    </row>
    <row r="100" spans="1:6" ht="15.75">
      <c r="A100" s="147"/>
      <c r="B100" s="147"/>
      <c r="C100" s="147"/>
      <c r="D100" s="147"/>
      <c r="E100" s="147"/>
      <c r="F100" s="147"/>
    </row>
    <row r="101" spans="1:6" ht="15.75">
      <c r="A101" s="147"/>
      <c r="B101" s="147"/>
      <c r="C101" s="147"/>
      <c r="D101" s="147"/>
      <c r="E101" s="147"/>
      <c r="F101" s="147"/>
    </row>
    <row r="102" spans="1:6" ht="15.75">
      <c r="A102" s="147"/>
      <c r="B102" s="147"/>
      <c r="C102" s="147"/>
      <c r="D102" s="147"/>
      <c r="E102" s="147"/>
      <c r="F102" s="147"/>
    </row>
    <row r="103" spans="1:6" ht="9.75" customHeight="1">
      <c r="A103" s="147"/>
      <c r="B103" s="147"/>
      <c r="C103" s="147"/>
      <c r="D103" s="147"/>
      <c r="E103" s="147"/>
      <c r="F103" s="147"/>
    </row>
    <row r="104" spans="1:6" ht="15.75">
      <c r="A104" s="147"/>
      <c r="B104" s="147"/>
      <c r="C104" s="147"/>
      <c r="D104" s="147"/>
      <c r="E104" s="147"/>
      <c r="F104" s="147"/>
    </row>
    <row r="105" spans="1:6" ht="15.75">
      <c r="A105" s="147"/>
      <c r="B105" s="147"/>
      <c r="C105" s="147"/>
      <c r="D105" s="147"/>
      <c r="E105" s="147"/>
      <c r="F105" s="147"/>
    </row>
    <row r="106" spans="1:6" ht="15.75">
      <c r="A106" s="147"/>
      <c r="B106" s="147"/>
      <c r="C106" s="147"/>
      <c r="D106" s="147"/>
      <c r="E106" s="147"/>
      <c r="F106" s="147"/>
    </row>
    <row r="107" spans="1:6" ht="15.75">
      <c r="A107" s="147"/>
      <c r="B107" s="147"/>
      <c r="C107" s="147"/>
      <c r="D107" s="147"/>
      <c r="E107" s="147"/>
      <c r="F107" s="147"/>
    </row>
    <row r="108" spans="1:6" ht="15.75">
      <c r="A108" s="147"/>
      <c r="B108" s="147"/>
      <c r="C108" s="147"/>
      <c r="D108" s="147"/>
      <c r="E108" s="147"/>
      <c r="F108" s="147"/>
    </row>
    <row r="109" spans="1:6" ht="15.75">
      <c r="A109" s="147"/>
      <c r="B109" s="147"/>
      <c r="C109" s="147"/>
      <c r="D109" s="147"/>
      <c r="E109" s="147"/>
      <c r="F109" s="147"/>
    </row>
    <row r="110" spans="1:6" ht="15.75">
      <c r="A110" s="147"/>
      <c r="B110" s="147"/>
      <c r="C110" s="147"/>
      <c r="D110" s="147"/>
      <c r="E110" s="147"/>
      <c r="F110" s="147"/>
    </row>
    <row r="111" spans="1:6" ht="15.75">
      <c r="A111" s="147"/>
      <c r="B111" s="147"/>
      <c r="C111" s="147"/>
      <c r="D111" s="147"/>
      <c r="E111" s="147"/>
      <c r="F111" s="147"/>
    </row>
    <row r="112" spans="1:6" ht="15.75">
      <c r="A112" s="147"/>
      <c r="B112" s="147"/>
      <c r="C112" s="147"/>
      <c r="D112" s="147"/>
      <c r="E112" s="147"/>
      <c r="F112" s="147"/>
    </row>
    <row r="113" spans="1:6" ht="15.75">
      <c r="A113" s="147"/>
      <c r="B113" s="147"/>
      <c r="C113" s="147"/>
      <c r="D113" s="147"/>
      <c r="E113" s="147"/>
      <c r="F113" s="147"/>
    </row>
    <row r="114" spans="1:6" ht="15.75">
      <c r="A114" s="147"/>
      <c r="B114" s="147"/>
      <c r="C114" s="147"/>
      <c r="D114" s="147"/>
      <c r="E114" s="147"/>
      <c r="F114" s="147"/>
    </row>
    <row r="115" spans="1:6" ht="15.75">
      <c r="A115" s="147"/>
      <c r="B115" s="147"/>
      <c r="C115" s="147"/>
      <c r="D115" s="147"/>
      <c r="E115" s="147"/>
      <c r="F115" s="147"/>
    </row>
    <row r="116" spans="1:6" ht="15.75">
      <c r="A116" s="147"/>
      <c r="B116" s="147"/>
      <c r="C116" s="147"/>
      <c r="D116" s="147"/>
      <c r="E116" s="147"/>
      <c r="F116" s="147"/>
    </row>
    <row r="117" spans="1:6" ht="15.75">
      <c r="A117" s="147"/>
      <c r="B117" s="147"/>
      <c r="C117" s="147"/>
      <c r="D117" s="147"/>
      <c r="E117" s="147"/>
      <c r="F117" s="147"/>
    </row>
    <row r="118" spans="1:6" ht="15.75">
      <c r="A118" s="147"/>
      <c r="B118" s="147"/>
      <c r="C118" s="147"/>
      <c r="D118" s="147"/>
      <c r="E118" s="147"/>
      <c r="F118" s="147"/>
    </row>
    <row r="119" spans="1:6" ht="15.75">
      <c r="A119" s="147"/>
      <c r="B119" s="147"/>
      <c r="C119" s="147"/>
      <c r="D119" s="147"/>
      <c r="E119" s="147"/>
      <c r="F119" s="147"/>
    </row>
    <row r="120" spans="1:6" ht="15.75">
      <c r="A120" s="147"/>
      <c r="B120" s="147"/>
      <c r="C120" s="147"/>
      <c r="D120" s="147"/>
      <c r="E120" s="147"/>
      <c r="F120" s="147"/>
    </row>
    <row r="121" spans="1:6" ht="15.75">
      <c r="A121" s="147"/>
      <c r="B121" s="147"/>
      <c r="C121" s="147"/>
      <c r="D121" s="147"/>
      <c r="E121" s="147"/>
      <c r="F121" s="147"/>
    </row>
    <row r="122" spans="1:6" ht="15.75">
      <c r="A122" s="147"/>
      <c r="B122" s="147"/>
      <c r="C122" s="147"/>
      <c r="D122" s="147"/>
      <c r="E122" s="147"/>
      <c r="F122" s="147"/>
    </row>
    <row r="123" spans="1:6" ht="15.75">
      <c r="A123" s="147"/>
      <c r="B123" s="147"/>
      <c r="C123" s="147"/>
      <c r="D123" s="147"/>
      <c r="E123" s="147"/>
      <c r="F123" s="147"/>
    </row>
    <row r="124" spans="1:6" ht="15.75">
      <c r="A124" s="147"/>
      <c r="B124" s="147"/>
      <c r="C124" s="147"/>
      <c r="D124" s="147"/>
      <c r="E124" s="147"/>
      <c r="F124" s="147"/>
    </row>
    <row r="125" spans="1:6" ht="15.75">
      <c r="A125" s="147"/>
      <c r="B125" s="147"/>
      <c r="C125" s="147"/>
      <c r="D125" s="147"/>
      <c r="E125" s="147"/>
      <c r="F125" s="147"/>
    </row>
    <row r="126" spans="1:6" ht="15.75">
      <c r="A126" s="147"/>
      <c r="B126" s="147"/>
      <c r="C126" s="147"/>
      <c r="D126" s="147"/>
      <c r="E126" s="147"/>
      <c r="F126" s="147"/>
    </row>
    <row r="127" spans="1:6" ht="15.75">
      <c r="A127" s="147"/>
      <c r="B127" s="147"/>
      <c r="C127" s="147"/>
      <c r="D127" s="147"/>
      <c r="E127" s="147"/>
      <c r="F127" s="147"/>
    </row>
  </sheetData>
  <mergeCells count="17">
    <mergeCell ref="A45:F45"/>
    <mergeCell ref="B3:D3"/>
    <mergeCell ref="A13:F13"/>
    <mergeCell ref="A14:F14"/>
    <mergeCell ref="A16:B16"/>
    <mergeCell ref="A17:B17"/>
    <mergeCell ref="A18:B18"/>
    <mergeCell ref="A19:B19"/>
    <mergeCell ref="A20:B20"/>
    <mergeCell ref="A21:B21"/>
    <mergeCell ref="A22:B22"/>
    <mergeCell ref="A23:B23"/>
    <mergeCell ref="A47:B47"/>
    <mergeCell ref="A48:B48"/>
    <mergeCell ref="A49:B49"/>
    <mergeCell ref="A50:B50"/>
    <mergeCell ref="A51:B51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7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7"/>
  <sheetViews>
    <sheetView zoomScale="90" zoomScaleNormal="90" workbookViewId="0">
      <selection activeCell="L16" sqref="L16"/>
    </sheetView>
  </sheetViews>
  <sheetFormatPr defaultRowHeight="12.75"/>
  <cols>
    <col min="1" max="1" width="5.5" style="2" bestFit="1" customWidth="1"/>
    <col min="2" max="2" width="16.5" style="2" customWidth="1"/>
    <col min="3" max="3" width="16.625" style="2" customWidth="1"/>
    <col min="4" max="4" width="19.125" style="2" customWidth="1"/>
    <col min="5" max="5" width="8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5" style="2" customWidth="1"/>
    <col min="12" max="12" width="12.875" style="2" customWidth="1"/>
    <col min="13" max="13" width="11.75" style="2" customWidth="1"/>
    <col min="14" max="14" width="12.5" style="2" bestFit="1" customWidth="1"/>
    <col min="15" max="15" width="10.25" style="2" bestFit="1" customWidth="1"/>
    <col min="16" max="17" width="11.5" style="2" customWidth="1"/>
    <col min="18" max="18" width="11.125" style="2" bestFit="1" customWidth="1"/>
    <col min="19" max="19" width="13.25" style="2" bestFit="1" customWidth="1"/>
    <col min="20" max="20" width="12.75" style="2" customWidth="1"/>
    <col min="21" max="21" width="12.5" style="2" bestFit="1" customWidth="1"/>
    <col min="22" max="22" width="11.25" style="2" customWidth="1"/>
    <col min="23" max="23" width="12.5" style="2" bestFit="1" customWidth="1"/>
    <col min="24" max="24" width="11.125" style="2" bestFit="1" customWidth="1"/>
    <col min="25" max="25" width="15.875" style="2" customWidth="1"/>
    <col min="26" max="26" width="10.75" style="2" customWidth="1"/>
    <col min="27" max="27" width="13.625" style="2" customWidth="1"/>
    <col min="28" max="28" width="11.875" style="2" customWidth="1"/>
    <col min="29" max="29" width="12.5" style="2" bestFit="1" customWidth="1"/>
    <col min="30" max="30" width="11.5" style="2" customWidth="1"/>
    <col min="31" max="31" width="11" style="2" customWidth="1"/>
    <col min="32" max="32" width="9" style="2"/>
    <col min="33" max="33" width="14" style="2" customWidth="1"/>
    <col min="34" max="16384" width="9" style="2"/>
  </cols>
  <sheetData>
    <row r="1" spans="1:32" ht="15.95" customHeight="1">
      <c r="E1" s="3"/>
      <c r="F1" s="161" t="s">
        <v>17</v>
      </c>
    </row>
    <row r="2" spans="1:32" ht="15.95" customHeight="1">
      <c r="E2" s="3"/>
      <c r="F2" s="161" t="s">
        <v>36</v>
      </c>
    </row>
    <row r="3" spans="1:32" ht="15.95" customHeight="1">
      <c r="B3" s="175" t="s">
        <v>30</v>
      </c>
      <c r="C3" s="175"/>
      <c r="D3" s="175"/>
      <c r="E3" s="3"/>
      <c r="F3" s="161" t="s">
        <v>37</v>
      </c>
    </row>
    <row r="4" spans="1:32" ht="15.95" customHeight="1">
      <c r="E4" s="3"/>
      <c r="F4" s="161" t="s">
        <v>38</v>
      </c>
    </row>
    <row r="5" spans="1:32" ht="15.95" customHeight="1">
      <c r="E5" s="3"/>
      <c r="F5" s="161" t="s">
        <v>18</v>
      </c>
    </row>
    <row r="6" spans="1:32" ht="15.75">
      <c r="A6" s="4"/>
      <c r="B6" s="4"/>
      <c r="C6" s="4"/>
      <c r="D6" s="5"/>
      <c r="E6" s="5"/>
      <c r="F6" s="4"/>
    </row>
    <row r="7" spans="1:32" ht="15.75">
      <c r="A7" s="147"/>
      <c r="B7" s="147"/>
      <c r="C7" s="147"/>
      <c r="D7" s="148"/>
      <c r="E7" s="148"/>
      <c r="F7" s="147"/>
    </row>
    <row r="8" spans="1:32" ht="19.5" customHeight="1">
      <c r="A8" s="149" t="s">
        <v>195</v>
      </c>
      <c r="B8" s="147" t="s">
        <v>26</v>
      </c>
      <c r="C8" s="147"/>
      <c r="D8" s="147"/>
      <c r="E8" s="147"/>
      <c r="F8" s="147"/>
    </row>
    <row r="9" spans="1:32" ht="19.5" customHeight="1">
      <c r="A9" s="149" t="s">
        <v>196</v>
      </c>
      <c r="B9" s="147" t="s">
        <v>64</v>
      </c>
      <c r="C9" s="147"/>
      <c r="D9" s="147"/>
      <c r="E9" s="147"/>
      <c r="F9" s="147"/>
    </row>
    <row r="10" spans="1:32" ht="19.5" customHeight="1">
      <c r="A10" s="149" t="s">
        <v>197</v>
      </c>
      <c r="B10" s="150">
        <v>41289</v>
      </c>
      <c r="C10" s="147"/>
      <c r="D10" s="147"/>
      <c r="E10" s="147"/>
      <c r="F10" s="147"/>
    </row>
    <row r="11" spans="1:32" ht="19.5" customHeight="1">
      <c r="A11" s="149" t="s">
        <v>198</v>
      </c>
      <c r="B11" s="147" t="s">
        <v>188</v>
      </c>
      <c r="C11" s="147"/>
      <c r="D11" s="147"/>
      <c r="E11" s="147"/>
      <c r="F11" s="147"/>
    </row>
    <row r="12" spans="1:32" ht="19.5" customHeight="1">
      <c r="A12" s="149"/>
      <c r="B12" s="147"/>
      <c r="C12" s="147"/>
      <c r="D12" s="147"/>
      <c r="E12" s="147"/>
      <c r="F12" s="147"/>
    </row>
    <row r="13" spans="1:32" ht="6.75" customHeight="1">
      <c r="A13" s="176"/>
      <c r="B13" s="176"/>
      <c r="C13" s="176"/>
      <c r="D13" s="176"/>
      <c r="E13" s="176"/>
      <c r="F13" s="176"/>
    </row>
    <row r="14" spans="1:32" ht="19.5" customHeight="1">
      <c r="A14" s="174" t="s">
        <v>87</v>
      </c>
      <c r="B14" s="174"/>
      <c r="C14" s="174"/>
      <c r="D14" s="174"/>
      <c r="E14" s="174"/>
      <c r="F14" s="174"/>
    </row>
    <row r="15" spans="1:32" ht="4.5" customHeight="1">
      <c r="A15" s="147"/>
      <c r="B15" s="147"/>
      <c r="C15" s="147"/>
      <c r="D15" s="147"/>
      <c r="E15" s="147"/>
      <c r="F15" s="147"/>
      <c r="N15" s="64"/>
      <c r="O15" s="64"/>
      <c r="P15" s="64"/>
      <c r="Q15" s="64"/>
    </row>
    <row r="16" spans="1:32" ht="39">
      <c r="A16" s="177"/>
      <c r="B16" s="177"/>
      <c r="C16" s="145" t="s">
        <v>189</v>
      </c>
      <c r="D16" s="145" t="s">
        <v>190</v>
      </c>
      <c r="E16" s="145" t="s">
        <v>19</v>
      </c>
      <c r="F16" s="145" t="s">
        <v>193</v>
      </c>
      <c r="G16" s="10">
        <v>0.25</v>
      </c>
      <c r="H16" s="27"/>
      <c r="I16" s="10">
        <v>0.25</v>
      </c>
      <c r="K16" s="9" t="s">
        <v>189</v>
      </c>
      <c r="L16" s="9" t="s">
        <v>192</v>
      </c>
      <c r="M16" s="9">
        <v>2013</v>
      </c>
      <c r="N16" s="9" t="s">
        <v>152</v>
      </c>
      <c r="O16" s="9" t="s">
        <v>153</v>
      </c>
      <c r="P16" s="9">
        <v>2012</v>
      </c>
      <c r="Q16" s="9" t="s">
        <v>110</v>
      </c>
      <c r="R16" s="9" t="s">
        <v>151</v>
      </c>
      <c r="S16" s="9" t="s">
        <v>150</v>
      </c>
      <c r="T16" s="9">
        <v>2011</v>
      </c>
      <c r="U16" s="9" t="s">
        <v>65</v>
      </c>
      <c r="V16" s="9" t="s">
        <v>112</v>
      </c>
      <c r="W16" s="9" t="s">
        <v>149</v>
      </c>
      <c r="X16" s="9">
        <v>2010</v>
      </c>
      <c r="Y16" s="9" t="s">
        <v>1</v>
      </c>
      <c r="Z16" s="9" t="s">
        <v>73</v>
      </c>
      <c r="AA16" s="9" t="s">
        <v>76</v>
      </c>
      <c r="AB16" s="9">
        <v>2009</v>
      </c>
      <c r="AC16" s="9" t="s">
        <v>74</v>
      </c>
      <c r="AD16" s="9" t="s">
        <v>75</v>
      </c>
      <c r="AE16" s="9" t="s">
        <v>77</v>
      </c>
      <c r="AF16" s="9">
        <v>2008</v>
      </c>
    </row>
    <row r="17" spans="1:32" ht="15.75" customHeight="1">
      <c r="A17" s="172" t="s">
        <v>20</v>
      </c>
      <c r="B17" s="172"/>
      <c r="C17" s="151">
        <f>K17</f>
        <v>2231084</v>
      </c>
      <c r="D17" s="151">
        <f>L17</f>
        <v>1259018</v>
      </c>
      <c r="E17" s="162">
        <f t="shared" ref="E17:E23" si="0">(D17/C17)</f>
        <v>0.5643077535404315</v>
      </c>
      <c r="F17" s="152">
        <f t="shared" ref="F17:F22" si="1">D17-G17</f>
        <v>701247</v>
      </c>
      <c r="G17" s="14">
        <f t="shared" ref="G17:G23" si="2">C17*0.25</f>
        <v>557771</v>
      </c>
      <c r="H17" s="15">
        <f t="shared" ref="H17:H21" si="3">C17-D17</f>
        <v>972066</v>
      </c>
      <c r="I17" s="10">
        <v>0.25</v>
      </c>
      <c r="J17" s="21" t="str">
        <f t="shared" ref="J17:J22" si="4">A17</f>
        <v>Current / Delinquent Taxes</v>
      </c>
      <c r="K17" s="129">
        <v>2231084</v>
      </c>
      <c r="L17" s="129">
        <v>1259018</v>
      </c>
      <c r="M17" s="141">
        <f>L17/K17</f>
        <v>0.5643077535404315</v>
      </c>
      <c r="N17" s="129">
        <v>2160925</v>
      </c>
      <c r="O17" s="129">
        <v>951311</v>
      </c>
      <c r="P17" s="141">
        <f>O17/N17</f>
        <v>0.44023323345326654</v>
      </c>
      <c r="Q17" s="129">
        <v>0</v>
      </c>
      <c r="R17" s="129">
        <v>0</v>
      </c>
      <c r="S17" s="11">
        <v>0</v>
      </c>
      <c r="T17" s="140" t="e">
        <f>R17/S17</f>
        <v>#DIV/0!</v>
      </c>
      <c r="U17" s="11">
        <v>4337995</v>
      </c>
      <c r="V17" s="11">
        <v>2345427.7200000002</v>
      </c>
      <c r="W17" s="11">
        <v>4339903</v>
      </c>
      <c r="X17" s="12">
        <f>V17/W17</f>
        <v>0.54043321244737508</v>
      </c>
      <c r="Y17" s="11">
        <f>'FY 2009 Rev 01-15-10'!E3</f>
        <v>4070011</v>
      </c>
      <c r="Z17" s="11">
        <f>SUM('FY 2009 Rev 01-15-10'!F3:H3)</f>
        <v>1852124.09</v>
      </c>
      <c r="AA17" s="11">
        <f>'FY 2009 Rev 01-15-10'!D3</f>
        <v>4095648.34</v>
      </c>
      <c r="AB17" s="12">
        <f t="shared" ref="AB17:AB23" si="5">Z17/AA17</f>
        <v>0.45221755781894113</v>
      </c>
      <c r="AC17" s="11">
        <f>'FY 2008 Rev 01-15-10'!E3</f>
        <v>762480</v>
      </c>
      <c r="AD17" s="11">
        <f>SUM('FY 2008 Rev 01-15-10'!F3:H3)</f>
        <v>360149.9</v>
      </c>
      <c r="AE17" s="11">
        <f>'FY 2008 Rev 01-15-10'!D3</f>
        <v>788839.59</v>
      </c>
      <c r="AF17" s="12">
        <f t="shared" ref="AF17:AF23" si="6">AD17/AE17</f>
        <v>0.45655657318112042</v>
      </c>
    </row>
    <row r="18" spans="1:32" ht="15.75" customHeight="1">
      <c r="A18" s="172" t="s">
        <v>66</v>
      </c>
      <c r="B18" s="172"/>
      <c r="C18" s="153">
        <f t="shared" ref="C18:C22" si="7">K18</f>
        <v>0</v>
      </c>
      <c r="D18" s="153">
        <f t="shared" ref="D18:D22" si="8">L18</f>
        <v>477</v>
      </c>
      <c r="E18" s="162">
        <v>1</v>
      </c>
      <c r="F18" s="153">
        <f>D18-G18</f>
        <v>477</v>
      </c>
      <c r="G18" s="14">
        <f t="shared" si="2"/>
        <v>0</v>
      </c>
      <c r="H18" s="27">
        <v>0</v>
      </c>
      <c r="I18" s="10">
        <v>0.25</v>
      </c>
      <c r="J18" s="21" t="str">
        <f t="shared" si="4"/>
        <v>License / Permits</v>
      </c>
      <c r="K18" s="129">
        <v>0</v>
      </c>
      <c r="L18" s="129">
        <v>477</v>
      </c>
      <c r="M18" s="141">
        <v>1</v>
      </c>
      <c r="N18" s="129">
        <v>1300</v>
      </c>
      <c r="O18" s="129">
        <v>252</v>
      </c>
      <c r="P18" s="141">
        <f t="shared" ref="P18:P23" si="9">O18/N18</f>
        <v>0.19384615384615383</v>
      </c>
      <c r="Q18" s="129">
        <v>2000</v>
      </c>
      <c r="R18" s="129">
        <v>234</v>
      </c>
      <c r="S18" s="28">
        <v>1431</v>
      </c>
      <c r="T18" s="141">
        <f t="shared" ref="T18:T23" si="10">R18/S18</f>
        <v>0.16352201257861634</v>
      </c>
      <c r="U18" s="16">
        <v>1854</v>
      </c>
      <c r="V18" s="28">
        <v>360</v>
      </c>
      <c r="W18" s="28">
        <v>1656</v>
      </c>
      <c r="X18" s="12">
        <f t="shared" ref="X18:X23" si="11">V18/W18</f>
        <v>0.21739130434782608</v>
      </c>
      <c r="Y18" s="28">
        <f>'FY 2009 Rev 01-15-10'!E5</f>
        <v>3000</v>
      </c>
      <c r="Z18" s="28">
        <f>SUM('FY 2009 Rev 01-15-10'!F5:H5)</f>
        <v>621</v>
      </c>
      <c r="AA18" s="28">
        <f>'FY 2009 Rev 01-15-10'!D5</f>
        <v>1476</v>
      </c>
      <c r="AB18" s="12">
        <f t="shared" si="5"/>
        <v>0.42073170731707316</v>
      </c>
      <c r="AC18" s="28">
        <f>'FY 2008 Rev 01-15-10'!E5</f>
        <v>7500</v>
      </c>
      <c r="AD18" s="28">
        <f>SUM('FY 2008 Rev 01-15-10'!F5:H5)</f>
        <v>504</v>
      </c>
      <c r="AE18" s="28">
        <f>'FY 2008 Rev 01-15-10'!D5</f>
        <v>3209</v>
      </c>
      <c r="AF18" s="12">
        <f t="shared" si="6"/>
        <v>0.15705827360548458</v>
      </c>
    </row>
    <row r="19" spans="1:32" ht="24.75" customHeight="1">
      <c r="A19" s="172" t="s">
        <v>2</v>
      </c>
      <c r="B19" s="172"/>
      <c r="C19" s="153">
        <f t="shared" si="7"/>
        <v>15007621</v>
      </c>
      <c r="D19" s="153">
        <f t="shared" si="8"/>
        <v>2445684</v>
      </c>
      <c r="E19" s="162">
        <f t="shared" si="0"/>
        <v>0.16296280403136512</v>
      </c>
      <c r="F19" s="153">
        <f t="shared" si="1"/>
        <v>-1306221.25</v>
      </c>
      <c r="G19" s="27">
        <f t="shared" si="2"/>
        <v>3751905.25</v>
      </c>
      <c r="H19" s="27">
        <f t="shared" si="3"/>
        <v>12561937</v>
      </c>
      <c r="I19" s="10">
        <v>0.25</v>
      </c>
      <c r="J19" s="21" t="str">
        <f t="shared" si="4"/>
        <v>Fees/Charges for Services</v>
      </c>
      <c r="K19" s="129">
        <v>15007621</v>
      </c>
      <c r="L19" s="129">
        <f>12534+2433150</f>
        <v>2445684</v>
      </c>
      <c r="M19" s="141">
        <f t="shared" ref="M19:M23" si="12">L19/K19</f>
        <v>0.16296280403136512</v>
      </c>
      <c r="N19" s="129">
        <v>13214500</v>
      </c>
      <c r="O19" s="129">
        <v>1643013</v>
      </c>
      <c r="P19" s="141">
        <f t="shared" si="9"/>
        <v>0.12433410269022664</v>
      </c>
      <c r="Q19" s="129">
        <v>13169000</v>
      </c>
      <c r="R19" s="129">
        <f>119354+1504308</f>
        <v>1623662</v>
      </c>
      <c r="S19" s="28">
        <v>13131612</v>
      </c>
      <c r="T19" s="141">
        <f t="shared" si="10"/>
        <v>0.12364529198700053</v>
      </c>
      <c r="U19" s="16">
        <v>12094490</v>
      </c>
      <c r="V19" s="28">
        <v>1527967.71</v>
      </c>
      <c r="W19" s="28">
        <v>12252721</v>
      </c>
      <c r="X19" s="12">
        <f t="shared" si="11"/>
        <v>0.12470435832171482</v>
      </c>
      <c r="Y19" s="28">
        <f>'FY 2009 Rev 01-15-10'!E10</f>
        <v>11806400</v>
      </c>
      <c r="Z19" s="28">
        <f>SUM('FY 2009 Rev 01-15-10'!F10:H10)</f>
        <v>1444413.2000000002</v>
      </c>
      <c r="AA19" s="28">
        <f>'FY 2009 Rev 01-15-10'!D10</f>
        <v>13237833.390000001</v>
      </c>
      <c r="AB19" s="12">
        <f t="shared" si="5"/>
        <v>0.1091125078739188</v>
      </c>
      <c r="AC19" s="28">
        <f>'FY 2008 Rev 01-15-10'!E10</f>
        <v>11740700</v>
      </c>
      <c r="AD19" s="28">
        <f>SUM('FY 2008 Rev 01-15-10'!F10:H10)</f>
        <v>1391161.49</v>
      </c>
      <c r="AE19" s="28">
        <f>'FY 2008 Rev 01-15-10'!D10</f>
        <v>13297241.34</v>
      </c>
      <c r="AF19" s="12">
        <f t="shared" si="6"/>
        <v>0.1046203084105263</v>
      </c>
    </row>
    <row r="20" spans="1:32" ht="15.75" customHeight="1">
      <c r="A20" s="172" t="s">
        <v>4</v>
      </c>
      <c r="B20" s="172"/>
      <c r="C20" s="153">
        <f t="shared" si="7"/>
        <v>1707212</v>
      </c>
      <c r="D20" s="153">
        <f t="shared" si="8"/>
        <v>469471</v>
      </c>
      <c r="E20" s="162">
        <f t="shared" si="0"/>
        <v>0.2749927952708861</v>
      </c>
      <c r="F20" s="153">
        <f t="shared" si="1"/>
        <v>42668</v>
      </c>
      <c r="G20" s="27">
        <f t="shared" si="2"/>
        <v>426803</v>
      </c>
      <c r="H20" s="27">
        <f t="shared" si="3"/>
        <v>1237741</v>
      </c>
      <c r="I20" s="10">
        <v>0.25</v>
      </c>
      <c r="J20" s="21" t="str">
        <f t="shared" si="4"/>
        <v>Fines</v>
      </c>
      <c r="K20" s="129">
        <v>1707212</v>
      </c>
      <c r="L20" s="129">
        <v>469471</v>
      </c>
      <c r="M20" s="141">
        <f t="shared" si="12"/>
        <v>0.2749927952708861</v>
      </c>
      <c r="N20" s="129">
        <v>1741500</v>
      </c>
      <c r="O20" s="129">
        <v>110993</v>
      </c>
      <c r="P20" s="141">
        <f t="shared" si="9"/>
        <v>6.3734137238013203E-2</v>
      </c>
      <c r="Q20" s="129">
        <v>2066000</v>
      </c>
      <c r="R20" s="129">
        <v>316585</v>
      </c>
      <c r="S20" s="28">
        <v>1819075</v>
      </c>
      <c r="T20" s="141">
        <f t="shared" si="10"/>
        <v>0.1740362546898836</v>
      </c>
      <c r="U20" s="16">
        <v>2295355</v>
      </c>
      <c r="V20" s="28">
        <v>472934.6</v>
      </c>
      <c r="W20" s="28">
        <v>2025223</v>
      </c>
      <c r="X20" s="12">
        <f t="shared" si="11"/>
        <v>0.23352223434160088</v>
      </c>
      <c r="Y20" s="28">
        <f>'FY 2009 Rev 01-15-10'!E12</f>
        <v>1904500</v>
      </c>
      <c r="Z20" s="28">
        <f>SUM('FY 2009 Rev 01-15-10'!F12:H12)</f>
        <v>511304.98</v>
      </c>
      <c r="AA20" s="28">
        <f>'FY 2009 Rev 01-15-10'!D12</f>
        <v>2213669.08</v>
      </c>
      <c r="AB20" s="12">
        <f t="shared" si="5"/>
        <v>0.2309762487173557</v>
      </c>
      <c r="AC20" s="28">
        <f>'FY 2008 Rev 01-15-10'!E12</f>
        <v>2042325</v>
      </c>
      <c r="AD20" s="28">
        <f>SUM('FY 2008 Rev 01-15-10'!F12:H12)</f>
        <v>231450.84000000003</v>
      </c>
      <c r="AE20" s="28">
        <f>'FY 2008 Rev 01-15-10'!D12</f>
        <v>2340429.91</v>
      </c>
      <c r="AF20" s="12">
        <f t="shared" si="6"/>
        <v>9.8892446644556861E-2</v>
      </c>
    </row>
    <row r="21" spans="1:32" ht="15.75" customHeight="1">
      <c r="A21" s="172" t="s">
        <v>3</v>
      </c>
      <c r="B21" s="172"/>
      <c r="C21" s="153">
        <f t="shared" si="7"/>
        <v>140000</v>
      </c>
      <c r="D21" s="153">
        <f t="shared" si="8"/>
        <v>26448</v>
      </c>
      <c r="E21" s="162">
        <f t="shared" si="0"/>
        <v>0.1889142857142857</v>
      </c>
      <c r="F21" s="153">
        <f t="shared" si="1"/>
        <v>-8552</v>
      </c>
      <c r="G21" s="26">
        <f t="shared" si="2"/>
        <v>35000</v>
      </c>
      <c r="H21" s="27">
        <f t="shared" si="3"/>
        <v>113552</v>
      </c>
      <c r="I21" s="10">
        <v>0.25</v>
      </c>
      <c r="J21" s="21" t="str">
        <f t="shared" si="4"/>
        <v>Investment Revenue</v>
      </c>
      <c r="K21" s="129">
        <v>140000</v>
      </c>
      <c r="L21" s="129">
        <v>26448</v>
      </c>
      <c r="M21" s="141">
        <f t="shared" si="12"/>
        <v>0.1889142857142857</v>
      </c>
      <c r="N21" s="129">
        <v>180000</v>
      </c>
      <c r="O21" s="129">
        <v>33495</v>
      </c>
      <c r="P21" s="141">
        <f t="shared" si="9"/>
        <v>0.18608333333333332</v>
      </c>
      <c r="Q21" s="129">
        <v>120000</v>
      </c>
      <c r="R21" s="129">
        <v>58080</v>
      </c>
      <c r="S21" s="28">
        <v>194336</v>
      </c>
      <c r="T21" s="141">
        <f t="shared" si="10"/>
        <v>0.29886382348098139</v>
      </c>
      <c r="U21" s="16">
        <v>280881</v>
      </c>
      <c r="V21" s="28">
        <v>58015.57</v>
      </c>
      <c r="W21" s="28">
        <v>222534</v>
      </c>
      <c r="X21" s="12">
        <f t="shared" si="11"/>
        <v>0.26070429687148927</v>
      </c>
      <c r="Y21" s="28">
        <f>'FY 2009 Rev 01-15-10'!E14</f>
        <v>305000</v>
      </c>
      <c r="Z21" s="28">
        <f>SUM('FY 2009 Rev 01-15-10'!F14:H14)</f>
        <v>73046.83</v>
      </c>
      <c r="AA21" s="28">
        <f>'FY 2009 Rev 01-15-10'!D14</f>
        <v>284617.61</v>
      </c>
      <c r="AB21" s="12">
        <f t="shared" si="5"/>
        <v>0.25664901760646508</v>
      </c>
      <c r="AC21" s="28">
        <f>'FY 2008 Rev 01-15-10'!E14</f>
        <v>572500</v>
      </c>
      <c r="AD21" s="28">
        <f>SUM('FY 2008 Rev 01-15-10'!F14:H14)</f>
        <v>112324.09</v>
      </c>
      <c r="AE21" s="28">
        <f>'FY 2008 Rev 01-15-10'!D14</f>
        <v>457042.89</v>
      </c>
      <c r="AF21" s="12">
        <f t="shared" si="6"/>
        <v>0.24576268979920024</v>
      </c>
    </row>
    <row r="22" spans="1:32" ht="15.75" customHeight="1" thickBot="1">
      <c r="A22" s="172" t="s">
        <v>21</v>
      </c>
      <c r="B22" s="172"/>
      <c r="C22" s="153">
        <f t="shared" si="7"/>
        <v>5000</v>
      </c>
      <c r="D22" s="153">
        <f t="shared" si="8"/>
        <v>8529</v>
      </c>
      <c r="E22" s="162">
        <f t="shared" si="0"/>
        <v>1.7058</v>
      </c>
      <c r="F22" s="153">
        <f t="shared" si="1"/>
        <v>7279</v>
      </c>
      <c r="G22" s="27">
        <f t="shared" si="2"/>
        <v>1250</v>
      </c>
      <c r="H22" s="27">
        <v>0</v>
      </c>
      <c r="I22" s="10">
        <v>0.25</v>
      </c>
      <c r="J22" s="21" t="str">
        <f t="shared" si="4"/>
        <v>Miscellaneous</v>
      </c>
      <c r="K22" s="130">
        <v>5000</v>
      </c>
      <c r="L22" s="130">
        <f>6086+2443</f>
        <v>8529</v>
      </c>
      <c r="M22" s="142">
        <f t="shared" si="12"/>
        <v>1.7058</v>
      </c>
      <c r="N22" s="130">
        <v>15000</v>
      </c>
      <c r="O22" s="130">
        <f>2019</f>
        <v>2019</v>
      </c>
      <c r="P22" s="142">
        <f t="shared" si="9"/>
        <v>0.1346</v>
      </c>
      <c r="Q22" s="130">
        <f>15000+10000</f>
        <v>25000</v>
      </c>
      <c r="R22" s="130">
        <v>2530</v>
      </c>
      <c r="S22" s="53">
        <f>49000+9304</f>
        <v>58304</v>
      </c>
      <c r="T22" s="142">
        <f t="shared" si="10"/>
        <v>4.3393249176728869E-2</v>
      </c>
      <c r="U22" s="52">
        <v>25400</v>
      </c>
      <c r="V22" s="53">
        <v>15398.05</v>
      </c>
      <c r="W22" s="53">
        <f>11655+53850</f>
        <v>65505</v>
      </c>
      <c r="X22" s="77">
        <f t="shared" si="11"/>
        <v>0.23506678879474849</v>
      </c>
      <c r="Y22" s="53">
        <f>'FY 2009 Rev 01-15-10'!E16+'FY 2009 Rev 01-15-10'!E18+'FY 2009 Rev 01-15-10'!E20</f>
        <v>117000</v>
      </c>
      <c r="Z22" s="53">
        <f>SUM('FY 2009 Rev 01-15-10'!F16:H16,'FY 2009 Rev 01-15-10'!F18:H18,'FY 2009 Rev 01-15-10'!F20:H20)</f>
        <v>1817.58</v>
      </c>
      <c r="AA22" s="53">
        <f>'FY 2009 Rev 01-15-10'!D16+'FY 2009 Rev 01-15-10'!D18+'FY 2009 Rev 01-15-10'!D20</f>
        <v>65838.240000000005</v>
      </c>
      <c r="AB22" s="77">
        <f t="shared" si="5"/>
        <v>2.7606752549885899E-2</v>
      </c>
      <c r="AC22" s="53">
        <f>'FY 2008 Rev 01-15-10'!E16+'FY 2008 Rev 01-15-10'!E18+'FY 2008 Rev 01-15-10'!E20</f>
        <v>90000</v>
      </c>
      <c r="AD22" s="53">
        <f>SUM('FY 2008 Rev 01-15-10'!F16:H16,'FY 2008 Rev 01-15-10'!F18:H18,'FY 2008 Rev 01-15-10'!F20:H20)</f>
        <v>270281.63</v>
      </c>
      <c r="AE22" s="53">
        <f>'FY 2008 Rev 01-15-10'!D16+'FY 2008 Rev 01-15-10'!D18+'FY 2008 Rev 01-15-10'!D20</f>
        <v>363410.55000000005</v>
      </c>
      <c r="AF22" s="77">
        <f t="shared" si="6"/>
        <v>0.74373633346637835</v>
      </c>
    </row>
    <row r="23" spans="1:32" ht="15.75" customHeight="1" thickBot="1">
      <c r="A23" s="173" t="s">
        <v>22</v>
      </c>
      <c r="B23" s="173"/>
      <c r="C23" s="151">
        <f>SUM(C17:C22)</f>
        <v>19090917</v>
      </c>
      <c r="D23" s="151">
        <f>SUM(D17:D22)</f>
        <v>4209627</v>
      </c>
      <c r="E23" s="162">
        <f t="shared" si="0"/>
        <v>0.2205041800768397</v>
      </c>
      <c r="F23" s="154">
        <f>SUM(F17:F22)</f>
        <v>-563102.25</v>
      </c>
      <c r="G23" s="27">
        <f t="shared" si="2"/>
        <v>4772729.25</v>
      </c>
      <c r="H23" s="27"/>
      <c r="J23" s="21"/>
      <c r="K23" s="128">
        <f>SUM(K17:K22)</f>
        <v>19090917</v>
      </c>
      <c r="L23" s="51">
        <f>SUM(L17:L22)</f>
        <v>4209627</v>
      </c>
      <c r="M23" s="143">
        <f t="shared" si="12"/>
        <v>0.2205041800768397</v>
      </c>
      <c r="N23" s="128">
        <f>SUM(N17:N22)</f>
        <v>17313225</v>
      </c>
      <c r="O23" s="51">
        <f>SUM(O17:O22)</f>
        <v>2741083</v>
      </c>
      <c r="P23" s="143">
        <f t="shared" si="9"/>
        <v>0.15832307383517513</v>
      </c>
      <c r="Q23" s="128">
        <f>SUM(Q17:Q22)</f>
        <v>15382000</v>
      </c>
      <c r="R23" s="51">
        <f>SUM(R17:R22)</f>
        <v>2001091</v>
      </c>
      <c r="S23" s="51">
        <f>SUM(S17:S22)</f>
        <v>15204758</v>
      </c>
      <c r="T23" s="143">
        <f t="shared" si="10"/>
        <v>0.13160952643902651</v>
      </c>
      <c r="U23" s="51">
        <f>SUM(U17:U22)</f>
        <v>19035975</v>
      </c>
      <c r="V23" s="51">
        <f>SUM(V17:V22)</f>
        <v>4420103.6500000004</v>
      </c>
      <c r="W23" s="51">
        <f>SUM(W17:W22)</f>
        <v>18907542</v>
      </c>
      <c r="X23" s="78">
        <f t="shared" si="11"/>
        <v>0.23377463077961166</v>
      </c>
      <c r="Y23" s="51">
        <f>SUM(Y17:Y22)</f>
        <v>18205911</v>
      </c>
      <c r="Z23" s="51">
        <f>SUM(Z17:Z22)</f>
        <v>3883327.68</v>
      </c>
      <c r="AA23" s="51">
        <f>SUM(AA17:AA22)</f>
        <v>19899082.66</v>
      </c>
      <c r="AB23" s="78">
        <f t="shared" si="5"/>
        <v>0.19515109044730206</v>
      </c>
      <c r="AC23" s="51">
        <f>SUM(AC17:AC22)</f>
        <v>15215505</v>
      </c>
      <c r="AD23" s="51">
        <f>SUM(AD17:AD22)</f>
        <v>2365871.9500000002</v>
      </c>
      <c r="AE23" s="51">
        <f>SUM(AE17:AE22)</f>
        <v>17250173.280000001</v>
      </c>
      <c r="AF23" s="78">
        <f t="shared" si="6"/>
        <v>0.1371506193936621</v>
      </c>
    </row>
    <row r="24" spans="1:32" ht="22.5" customHeight="1" thickTop="1">
      <c r="A24" s="147"/>
      <c r="B24" s="147"/>
      <c r="C24" s="147"/>
      <c r="D24" s="147"/>
      <c r="E24" s="147"/>
      <c r="F24" s="147"/>
      <c r="J24" s="21"/>
      <c r="K24" s="21"/>
      <c r="L24" s="21"/>
      <c r="M24" s="21"/>
      <c r="N24" s="26"/>
    </row>
    <row r="25" spans="1:32" ht="15.75">
      <c r="A25" s="147"/>
      <c r="B25" s="147"/>
      <c r="C25" s="147"/>
      <c r="D25" s="147"/>
      <c r="E25" s="147"/>
      <c r="F25" s="147"/>
      <c r="J25" s="21"/>
      <c r="K25" s="21"/>
      <c r="L25" s="21"/>
      <c r="M25" s="21"/>
      <c r="N25" s="26"/>
      <c r="O25" s="15"/>
    </row>
    <row r="26" spans="1:32" ht="15.75">
      <c r="A26" s="147"/>
      <c r="B26" s="147"/>
      <c r="C26" s="147"/>
      <c r="D26" s="147"/>
      <c r="E26" s="147"/>
      <c r="F26" s="147"/>
    </row>
    <row r="27" spans="1:32" ht="15.75">
      <c r="A27" s="147"/>
      <c r="B27" s="147"/>
      <c r="C27" s="147"/>
      <c r="D27" s="147"/>
      <c r="E27" s="147"/>
      <c r="F27" s="147"/>
    </row>
    <row r="28" spans="1:32" ht="15.75">
      <c r="A28" s="147"/>
      <c r="B28" s="147"/>
      <c r="C28" s="147"/>
      <c r="D28" s="147"/>
      <c r="E28" s="147"/>
      <c r="F28" s="147"/>
    </row>
    <row r="29" spans="1:32" ht="15.75">
      <c r="A29" s="147"/>
      <c r="B29" s="147"/>
      <c r="C29" s="147"/>
      <c r="D29" s="147"/>
      <c r="E29" s="147"/>
      <c r="F29" s="147"/>
    </row>
    <row r="30" spans="1:32" ht="15.75">
      <c r="A30" s="147"/>
      <c r="B30" s="147"/>
      <c r="C30" s="147"/>
      <c r="D30" s="147"/>
      <c r="E30" s="147"/>
      <c r="F30" s="147"/>
    </row>
    <row r="31" spans="1:32" ht="15.75">
      <c r="A31" s="147"/>
      <c r="B31" s="147"/>
      <c r="C31" s="147"/>
      <c r="D31" s="147"/>
      <c r="E31" s="147"/>
      <c r="F31" s="147"/>
    </row>
    <row r="32" spans="1:32" ht="15.75">
      <c r="A32" s="147"/>
      <c r="B32" s="147"/>
      <c r="C32" s="147"/>
      <c r="D32" s="147"/>
      <c r="E32" s="147"/>
      <c r="F32" s="147"/>
    </row>
    <row r="33" spans="1:37" ht="15.75">
      <c r="A33" s="147"/>
      <c r="B33" s="147"/>
      <c r="C33" s="147"/>
      <c r="D33" s="147"/>
      <c r="E33" s="147"/>
      <c r="F33" s="147"/>
    </row>
    <row r="34" spans="1:37" ht="15.75">
      <c r="A34" s="147"/>
      <c r="B34" s="147"/>
      <c r="C34" s="147"/>
      <c r="D34" s="147"/>
      <c r="E34" s="147"/>
      <c r="F34" s="147"/>
    </row>
    <row r="35" spans="1:37" ht="15.75">
      <c r="A35" s="147"/>
      <c r="B35" s="147"/>
      <c r="C35" s="147"/>
      <c r="D35" s="147"/>
      <c r="E35" s="147"/>
      <c r="F35" s="147"/>
    </row>
    <row r="36" spans="1:37" ht="15.75">
      <c r="A36" s="147"/>
      <c r="B36" s="147"/>
      <c r="C36" s="147"/>
      <c r="D36" s="147"/>
      <c r="E36" s="147"/>
      <c r="F36" s="147"/>
    </row>
    <row r="37" spans="1:37" ht="15.75">
      <c r="A37" s="147"/>
      <c r="B37" s="147"/>
      <c r="C37" s="147"/>
      <c r="D37" s="147"/>
      <c r="E37" s="147"/>
      <c r="F37" s="147"/>
    </row>
    <row r="38" spans="1:37" ht="15.75">
      <c r="A38" s="147"/>
      <c r="B38" s="147"/>
      <c r="C38" s="147"/>
      <c r="D38" s="147"/>
      <c r="E38" s="147"/>
      <c r="F38" s="147"/>
    </row>
    <row r="39" spans="1:37" ht="15.75">
      <c r="A39" s="147"/>
      <c r="B39" s="147"/>
      <c r="C39" s="147"/>
      <c r="D39" s="147"/>
      <c r="E39" s="147"/>
      <c r="F39" s="147"/>
      <c r="J39" s="65"/>
      <c r="K39" s="65"/>
      <c r="L39" s="65"/>
      <c r="M39" s="65"/>
      <c r="N39" s="65"/>
    </row>
    <row r="40" spans="1:37" ht="15.75">
      <c r="A40" s="147"/>
      <c r="B40" s="147"/>
      <c r="C40" s="147"/>
      <c r="D40" s="147"/>
      <c r="E40" s="147"/>
      <c r="F40" s="147"/>
      <c r="J40" s="65"/>
      <c r="K40" s="65"/>
      <c r="L40" s="65"/>
      <c r="M40" s="65"/>
      <c r="N40" s="65"/>
    </row>
    <row r="41" spans="1:37" ht="15.75">
      <c r="A41" s="147"/>
      <c r="B41" s="147"/>
      <c r="C41" s="147"/>
      <c r="D41" s="147"/>
      <c r="E41" s="147"/>
      <c r="F41" s="147"/>
      <c r="J41" s="65"/>
      <c r="K41" s="65"/>
      <c r="L41" s="65"/>
      <c r="M41" s="65"/>
      <c r="N41" s="65"/>
    </row>
    <row r="42" spans="1:37" ht="15.75">
      <c r="A42" s="147"/>
      <c r="B42" s="147"/>
      <c r="C42" s="147"/>
      <c r="D42" s="147"/>
      <c r="E42" s="147"/>
      <c r="F42" s="147"/>
      <c r="J42" s="65"/>
      <c r="K42" s="65"/>
      <c r="L42" s="65"/>
      <c r="M42" s="65"/>
      <c r="N42" s="65"/>
    </row>
    <row r="43" spans="1:37" ht="15.75">
      <c r="A43" s="147"/>
      <c r="B43" s="147"/>
      <c r="C43" s="147"/>
      <c r="D43" s="147"/>
      <c r="E43" s="147"/>
      <c r="F43" s="147"/>
      <c r="J43" s="65"/>
      <c r="K43" s="65"/>
      <c r="L43" s="65"/>
      <c r="M43" s="65"/>
      <c r="N43" s="65"/>
    </row>
    <row r="44" spans="1:37" ht="15.75">
      <c r="A44" s="147"/>
      <c r="B44" s="147"/>
      <c r="C44" s="147"/>
      <c r="D44" s="147"/>
      <c r="E44" s="147"/>
      <c r="F44" s="147"/>
      <c r="J44" s="65"/>
      <c r="K44" s="65"/>
      <c r="L44" s="65"/>
      <c r="M44" s="65"/>
      <c r="N44" s="65"/>
    </row>
    <row r="45" spans="1:37" ht="33" customHeight="1">
      <c r="A45" s="174" t="s">
        <v>88</v>
      </c>
      <c r="B45" s="174"/>
      <c r="C45" s="174"/>
      <c r="D45" s="174"/>
      <c r="E45" s="174"/>
      <c r="F45" s="174"/>
      <c r="J45" s="65"/>
      <c r="K45" s="65"/>
      <c r="L45" s="65"/>
      <c r="M45" s="65"/>
      <c r="N45" s="65"/>
    </row>
    <row r="46" spans="1:37" ht="12" customHeight="1">
      <c r="A46" s="147"/>
      <c r="B46" s="146"/>
      <c r="C46" s="146"/>
      <c r="D46" s="146"/>
      <c r="E46" s="146"/>
      <c r="F46" s="147"/>
      <c r="J46" s="65"/>
      <c r="K46" s="65"/>
      <c r="L46" s="65"/>
      <c r="M46" s="65"/>
      <c r="N46" s="65"/>
    </row>
    <row r="47" spans="1:37" ht="36" customHeight="1">
      <c r="A47" s="167"/>
      <c r="B47" s="167"/>
      <c r="C47" s="155" t="s">
        <v>189</v>
      </c>
      <c r="D47" s="155" t="s">
        <v>194</v>
      </c>
      <c r="E47" s="155" t="s">
        <v>19</v>
      </c>
      <c r="F47" s="145" t="s">
        <v>193</v>
      </c>
      <c r="G47" s="10">
        <v>0.25</v>
      </c>
      <c r="H47" s="2" t="s">
        <v>32</v>
      </c>
      <c r="K47" s="79" t="s">
        <v>189</v>
      </c>
      <c r="L47" s="75" t="s">
        <v>191</v>
      </c>
      <c r="M47" s="76">
        <v>2013</v>
      </c>
      <c r="N47" s="79" t="s">
        <v>154</v>
      </c>
      <c r="O47" s="75" t="s">
        <v>158</v>
      </c>
      <c r="P47" s="76">
        <v>2012</v>
      </c>
      <c r="Q47" s="75" t="s">
        <v>156</v>
      </c>
      <c r="R47" s="79" t="s">
        <v>113</v>
      </c>
      <c r="S47" s="75" t="s">
        <v>157</v>
      </c>
      <c r="T47" s="76">
        <v>2011</v>
      </c>
      <c r="U47" s="75" t="s">
        <v>115</v>
      </c>
      <c r="V47" s="79" t="s">
        <v>65</v>
      </c>
      <c r="W47" s="75" t="s">
        <v>116</v>
      </c>
      <c r="X47" s="76">
        <v>2010</v>
      </c>
      <c r="Y47" s="75" t="s">
        <v>79</v>
      </c>
      <c r="Z47" s="75" t="s">
        <v>1</v>
      </c>
      <c r="AA47" s="75" t="s">
        <v>80</v>
      </c>
      <c r="AB47" s="76">
        <v>2009</v>
      </c>
      <c r="AC47" s="75" t="s">
        <v>81</v>
      </c>
      <c r="AD47" s="75">
        <v>2009</v>
      </c>
      <c r="AE47" s="75" t="s">
        <v>82</v>
      </c>
      <c r="AF47" s="75" t="s">
        <v>74</v>
      </c>
      <c r="AG47" s="75" t="s">
        <v>83</v>
      </c>
      <c r="AH47" s="76">
        <v>2008</v>
      </c>
      <c r="AI47" s="75" t="s">
        <v>84</v>
      </c>
      <c r="AJ47" s="75">
        <v>2008</v>
      </c>
      <c r="AK47" s="75" t="s">
        <v>85</v>
      </c>
    </row>
    <row r="48" spans="1:37" ht="15.75" customHeight="1">
      <c r="A48" s="168" t="s">
        <v>23</v>
      </c>
      <c r="B48" s="169"/>
      <c r="C48" s="151">
        <f t="shared" ref="C48:D50" si="13">K48</f>
        <v>44035</v>
      </c>
      <c r="D48" s="151">
        <f t="shared" si="13"/>
        <v>17372</v>
      </c>
      <c r="E48" s="162">
        <f>(D48/C48)</f>
        <v>0.39450437152265244</v>
      </c>
      <c r="F48" s="153">
        <f>+G48-D48</f>
        <v>-6363.25</v>
      </c>
      <c r="G48" s="23">
        <f>C48*0.25</f>
        <v>11008.75</v>
      </c>
      <c r="H48" s="24">
        <f>C48-D48</f>
        <v>26663</v>
      </c>
      <c r="I48" s="1">
        <v>0.25</v>
      </c>
      <c r="J48" s="65" t="str">
        <f>A48</f>
        <v>Conservation</v>
      </c>
      <c r="K48" s="129">
        <v>44035</v>
      </c>
      <c r="L48" s="129">
        <v>17372</v>
      </c>
      <c r="M48" s="131">
        <f>L48/K48</f>
        <v>0.39450437152265244</v>
      </c>
      <c r="N48" s="129">
        <v>44035</v>
      </c>
      <c r="O48" s="129">
        <v>0</v>
      </c>
      <c r="P48" s="131">
        <f>O48/N48</f>
        <v>0</v>
      </c>
      <c r="Q48" s="13">
        <f>N48-O48</f>
        <v>44035</v>
      </c>
      <c r="R48" s="129">
        <v>44035</v>
      </c>
      <c r="S48" s="129">
        <v>0</v>
      </c>
      <c r="T48" s="131">
        <f>S48/R48</f>
        <v>0</v>
      </c>
      <c r="U48" s="13">
        <f>R48-S48</f>
        <v>44035</v>
      </c>
      <c r="V48" s="13">
        <v>44035</v>
      </c>
      <c r="W48" s="13">
        <v>1783.36</v>
      </c>
      <c r="X48" s="80">
        <f>(W48/V48)</f>
        <v>4.0498694220506413E-2</v>
      </c>
      <c r="Y48" s="13">
        <f>V48-W48</f>
        <v>42251.64</v>
      </c>
      <c r="Z48" s="13">
        <f>'FY 2009 Exp 01-06-10'!C2</f>
        <v>44035</v>
      </c>
      <c r="AA48" s="13">
        <f>SUM('FY 2009 Exp 01-06-10'!F2:H2)</f>
        <v>14369.279999999999</v>
      </c>
      <c r="AB48" s="80">
        <f>AA48/Z48</f>
        <v>0.3263149767230612</v>
      </c>
      <c r="AC48" s="13">
        <f>'FY 2009 Exp 01-06-10'!D2</f>
        <v>217718</v>
      </c>
      <c r="AD48" s="80">
        <f>AA48/AC48</f>
        <v>6.5999503945470744E-2</v>
      </c>
      <c r="AE48" s="13">
        <f>Z48-AA48</f>
        <v>29665.72</v>
      </c>
      <c r="AF48" s="13">
        <f>'FY 2008 Exp 01-06-10'!C2</f>
        <v>44035</v>
      </c>
      <c r="AG48" s="13">
        <f>SUM('FY 2008 Exp 01-06-10'!F2:H2)</f>
        <v>7545.48</v>
      </c>
      <c r="AH48" s="80">
        <f>AG48/AF48</f>
        <v>0.17135187918701034</v>
      </c>
      <c r="AI48" s="13">
        <f>'FY 2008 Exp 01-06-10'!D2</f>
        <v>401290</v>
      </c>
      <c r="AJ48" s="80">
        <f>AG48/AI48</f>
        <v>1.8803060131077274E-2</v>
      </c>
      <c r="AK48" s="13">
        <f>AF48-AG48</f>
        <v>36489.520000000004</v>
      </c>
    </row>
    <row r="49" spans="1:37" ht="15.75" customHeight="1">
      <c r="A49" s="168" t="s">
        <v>102</v>
      </c>
      <c r="B49" s="169"/>
      <c r="C49" s="153">
        <f t="shared" si="13"/>
        <v>20500895</v>
      </c>
      <c r="D49" s="153">
        <f t="shared" si="13"/>
        <v>5251274</v>
      </c>
      <c r="E49" s="162">
        <f>(D49/C49)</f>
        <v>0.25614852424735601</v>
      </c>
      <c r="F49" s="153">
        <f>+G49-D49</f>
        <v>-126050.25</v>
      </c>
      <c r="G49" s="25">
        <f>C49*0.25</f>
        <v>5125223.75</v>
      </c>
      <c r="H49" s="25">
        <f>C49-D49</f>
        <v>15249621</v>
      </c>
      <c r="I49" s="1">
        <v>0.25</v>
      </c>
      <c r="J49" s="65" t="str">
        <f>A49</f>
        <v>Public Transport</v>
      </c>
      <c r="K49" s="129">
        <v>20500895</v>
      </c>
      <c r="L49" s="129">
        <v>5251274</v>
      </c>
      <c r="M49" s="131">
        <f>L49/K49</f>
        <v>0.25614852424735601</v>
      </c>
      <c r="N49" s="129">
        <v>19844693</v>
      </c>
      <c r="O49" s="129">
        <v>5063212</v>
      </c>
      <c r="P49" s="131">
        <f>O49/N49</f>
        <v>0.25514186588827553</v>
      </c>
      <c r="Q49" s="81">
        <f>N49-O49</f>
        <v>14781481</v>
      </c>
      <c r="R49" s="129">
        <v>19188923</v>
      </c>
      <c r="S49" s="129">
        <v>3387465</v>
      </c>
      <c r="T49" s="131">
        <f>S49/R49</f>
        <v>0.17653231502362066</v>
      </c>
      <c r="U49" s="81">
        <f>R49-S49</f>
        <v>15801458</v>
      </c>
      <c r="V49" s="81">
        <v>19347332</v>
      </c>
      <c r="W49" s="81">
        <v>2680684.2000000002</v>
      </c>
      <c r="X49" s="80">
        <f>(W49/V49)</f>
        <v>0.13855575538787468</v>
      </c>
      <c r="Y49" s="81">
        <f>V49-W49</f>
        <v>16666647.800000001</v>
      </c>
      <c r="Z49" s="81">
        <f>'FY 2009 Exp 01-06-10'!C4</f>
        <v>19861346</v>
      </c>
      <c r="AA49" s="81">
        <f>SUM('FY 2009 Exp 01-06-10'!F4:H4)</f>
        <v>3880456.6799999997</v>
      </c>
      <c r="AB49" s="80">
        <f>AA49/Z49</f>
        <v>0.19537732639066857</v>
      </c>
      <c r="AC49" s="81">
        <f>'FY 2009 Exp 01-06-10'!D4</f>
        <v>23302893</v>
      </c>
      <c r="AD49" s="80">
        <f>AA49/AC49</f>
        <v>0.16652252919841326</v>
      </c>
      <c r="AE49" s="13">
        <f>Z49-AA49</f>
        <v>15980889.32</v>
      </c>
      <c r="AF49" s="81">
        <f>'FY 2008 Exp 01-06-10'!C4</f>
        <v>17022879</v>
      </c>
      <c r="AG49" s="81">
        <f>SUM('FY 2008 Exp 01-06-10'!F4:H4)</f>
        <v>2716479.66</v>
      </c>
      <c r="AH49" s="80">
        <f>AG49/AF49</f>
        <v>0.15957815713781437</v>
      </c>
      <c r="AI49" s="81">
        <f>'FY 2008 Exp 01-06-10'!C4</f>
        <v>17022879</v>
      </c>
      <c r="AJ49" s="80">
        <f>AG49/AI49</f>
        <v>0.15957815713781437</v>
      </c>
      <c r="AK49" s="13">
        <f>AF49-AG49</f>
        <v>14306399.34</v>
      </c>
    </row>
    <row r="50" spans="1:37" ht="15.75" customHeight="1" thickBot="1">
      <c r="A50" s="168" t="s">
        <v>21</v>
      </c>
      <c r="B50" s="169"/>
      <c r="C50" s="153">
        <f t="shared" si="13"/>
        <v>0</v>
      </c>
      <c r="D50" s="153">
        <f t="shared" si="13"/>
        <v>0</v>
      </c>
      <c r="E50" s="163" t="s">
        <v>117</v>
      </c>
      <c r="F50" s="153">
        <f>+G50-D50</f>
        <v>0</v>
      </c>
      <c r="G50" s="25">
        <f>C50*0.25</f>
        <v>0</v>
      </c>
      <c r="H50" s="25">
        <f>C50-D50</f>
        <v>0</v>
      </c>
      <c r="I50" s="1">
        <v>0.25</v>
      </c>
      <c r="J50" s="65" t="s">
        <v>21</v>
      </c>
      <c r="K50" s="130">
        <v>0</v>
      </c>
      <c r="L50" s="130">
        <v>0</v>
      </c>
      <c r="M50" s="133" t="e">
        <f>L50/K50</f>
        <v>#DIV/0!</v>
      </c>
      <c r="N50" s="130">
        <v>0</v>
      </c>
      <c r="O50" s="130">
        <v>0</v>
      </c>
      <c r="P50" s="133" t="e">
        <f>O50/N50</f>
        <v>#DIV/0!</v>
      </c>
      <c r="Q50" s="83">
        <f>N50-O50</f>
        <v>0</v>
      </c>
      <c r="R50" s="130">
        <v>0</v>
      </c>
      <c r="S50" s="130">
        <v>0</v>
      </c>
      <c r="T50" s="133" t="e">
        <f>S50/R50</f>
        <v>#DIV/0!</v>
      </c>
      <c r="U50" s="83">
        <f>R50-S50</f>
        <v>0</v>
      </c>
      <c r="V50" s="83">
        <v>0</v>
      </c>
      <c r="W50" s="83">
        <v>0</v>
      </c>
      <c r="X50" s="77" t="e">
        <f>(W50/V50)</f>
        <v>#DIV/0!</v>
      </c>
      <c r="Y50" s="83">
        <f>V50-W50</f>
        <v>0</v>
      </c>
      <c r="Z50" s="83">
        <f>'FY 2009 Exp 01-06-10'!C5</f>
        <v>0</v>
      </c>
      <c r="AA50" s="83">
        <f>SUM('FY 2009 Exp 01-06-10'!F5:H5)</f>
        <v>0</v>
      </c>
      <c r="AB50" s="77" t="e">
        <f>AA50/Z50</f>
        <v>#DIV/0!</v>
      </c>
      <c r="AC50" s="83">
        <f>'FY 2009 Exp 01-06-10'!D5</f>
        <v>433900</v>
      </c>
      <c r="AD50" s="77">
        <f>AA50/AC50</f>
        <v>0</v>
      </c>
      <c r="AE50" s="84">
        <f>Z50-AA50</f>
        <v>0</v>
      </c>
      <c r="AF50" s="83">
        <f>'FY 2008 Exp 01-06-10'!C5</f>
        <v>0</v>
      </c>
      <c r="AG50" s="83">
        <f>SUM('FY 2008 Exp 01-06-10'!F5:H5)</f>
        <v>0</v>
      </c>
      <c r="AH50" s="77" t="e">
        <f>AG50/AF50</f>
        <v>#DIV/0!</v>
      </c>
      <c r="AI50" s="83">
        <f>'FY 2008 Exp 01-06-10'!C5</f>
        <v>0</v>
      </c>
      <c r="AJ50" s="77" t="e">
        <f>AG50/AI50</f>
        <v>#DIV/0!</v>
      </c>
      <c r="AK50" s="84">
        <f>AF50-AG50</f>
        <v>0</v>
      </c>
    </row>
    <row r="51" spans="1:37" ht="15.75" customHeight="1" thickBot="1">
      <c r="A51" s="170" t="s">
        <v>22</v>
      </c>
      <c r="B51" s="171"/>
      <c r="C51" s="151">
        <f>SUM(C48:C50)</f>
        <v>20544930</v>
      </c>
      <c r="D51" s="151">
        <f>SUM(D48:D50)</f>
        <v>5268646</v>
      </c>
      <c r="E51" s="162">
        <f>(D51/C51)</f>
        <v>0.2564450694161528</v>
      </c>
      <c r="F51" s="156">
        <f>+G51-D51</f>
        <v>-132413.5</v>
      </c>
      <c r="G51" s="14">
        <f>C51*0.25</f>
        <v>5136232.5</v>
      </c>
      <c r="J51" s="50"/>
      <c r="K51" s="82">
        <f>SUM(K48:K50)</f>
        <v>20544930</v>
      </c>
      <c r="L51" s="82">
        <f>SUM(L48:L50)</f>
        <v>5268646</v>
      </c>
      <c r="M51" s="132">
        <f>L51/K51</f>
        <v>0.2564450694161528</v>
      </c>
      <c r="N51" s="82">
        <f>SUM(N48:N50)</f>
        <v>19888728</v>
      </c>
      <c r="O51" s="82">
        <f>SUM(O48:O50)</f>
        <v>5063212</v>
      </c>
      <c r="P51" s="132">
        <f>O51/N51</f>
        <v>0.25457696439913102</v>
      </c>
      <c r="Q51" s="82">
        <f>SUM(Q48:Q50)</f>
        <v>14825516</v>
      </c>
      <c r="R51" s="82">
        <f>SUM(R48:R50)</f>
        <v>19232958</v>
      </c>
      <c r="S51" s="82">
        <f>SUM(S48:S50)</f>
        <v>3387465</v>
      </c>
      <c r="T51" s="132">
        <f>S51/R51</f>
        <v>0.17612813380032338</v>
      </c>
      <c r="U51" s="82">
        <f>SUM(U48:U50)</f>
        <v>15845493</v>
      </c>
      <c r="V51" s="82">
        <f>SUM(V48:V50)</f>
        <v>19391367</v>
      </c>
      <c r="W51" s="82">
        <f>SUM(W48:W50)</f>
        <v>2682467.56</v>
      </c>
      <c r="X51" s="78">
        <f>(W51/V51)</f>
        <v>0.13833308193280031</v>
      </c>
      <c r="Y51" s="82">
        <f>SUM(Y48:Y50)</f>
        <v>16708899.440000001</v>
      </c>
      <c r="Z51" s="82">
        <f>SUM(Z48:Z50)</f>
        <v>19905381</v>
      </c>
      <c r="AA51" s="82">
        <f>SUM(AA48:AA50)</f>
        <v>3894825.9599999995</v>
      </c>
      <c r="AB51" s="78">
        <f>AA51/Z51</f>
        <v>0.19566698874038127</v>
      </c>
      <c r="AC51" s="82">
        <f>SUM(AC48:AC50)</f>
        <v>23954511</v>
      </c>
      <c r="AD51" s="78">
        <f>AA51/AC51</f>
        <v>0.16259258892823983</v>
      </c>
      <c r="AE51" s="82">
        <f>SUM(AE48:AE50)</f>
        <v>16010555.040000001</v>
      </c>
      <c r="AF51" s="82">
        <f>SUM(AF48:AF50)</f>
        <v>17066914</v>
      </c>
      <c r="AG51" s="82">
        <f>SUM(AG48:AG50)</f>
        <v>2724025.14</v>
      </c>
      <c r="AH51" s="78">
        <f>AG51/AF51</f>
        <v>0.15960853497005961</v>
      </c>
      <c r="AI51" s="82">
        <f>SUM(AI48:AI50)</f>
        <v>17424169</v>
      </c>
      <c r="AJ51" s="78">
        <f>AG51/AI51</f>
        <v>0.15633601464724087</v>
      </c>
      <c r="AK51" s="82">
        <f>SUM(AK48:AK50)</f>
        <v>14342888.859999999</v>
      </c>
    </row>
    <row r="52" spans="1:37" ht="15.75" customHeight="1" thickTop="1">
      <c r="A52" s="157"/>
      <c r="B52" s="157"/>
      <c r="C52" s="158"/>
      <c r="D52" s="158"/>
      <c r="E52" s="159"/>
      <c r="F52" s="160"/>
      <c r="G52" s="14"/>
      <c r="J52" s="50"/>
      <c r="K52" s="50"/>
      <c r="L52" s="50"/>
      <c r="M52" s="50"/>
      <c r="N52" s="137"/>
      <c r="O52" s="137"/>
      <c r="P52" s="138"/>
      <c r="Q52" s="24"/>
      <c r="R52" s="24"/>
      <c r="S52" s="24"/>
      <c r="T52" s="136"/>
      <c r="U52" s="24"/>
      <c r="V52" s="24"/>
      <c r="W52" s="24"/>
      <c r="X52" s="136"/>
      <c r="Y52" s="24"/>
      <c r="Z52" s="136"/>
      <c r="AA52" s="24"/>
      <c r="AB52" s="24"/>
      <c r="AC52" s="24"/>
      <c r="AD52" s="136"/>
      <c r="AE52" s="24"/>
      <c r="AF52" s="136"/>
      <c r="AG52" s="24"/>
    </row>
    <row r="53" spans="1:37" ht="15.75">
      <c r="A53" s="147"/>
      <c r="B53" s="147"/>
      <c r="C53" s="147"/>
      <c r="D53" s="147"/>
      <c r="E53" s="147"/>
      <c r="F53" s="147"/>
    </row>
    <row r="54" spans="1:37" ht="15.75">
      <c r="A54" s="147"/>
      <c r="B54" s="147"/>
      <c r="C54" s="147"/>
      <c r="D54" s="147"/>
      <c r="E54" s="147"/>
      <c r="F54" s="147"/>
    </row>
    <row r="55" spans="1:37" ht="15.75">
      <c r="A55" s="147"/>
      <c r="B55" s="147"/>
      <c r="C55" s="147"/>
      <c r="D55" s="147"/>
      <c r="E55" s="147"/>
      <c r="F55" s="147"/>
    </row>
    <row r="56" spans="1:37" ht="15.75">
      <c r="A56" s="147"/>
      <c r="B56" s="147"/>
      <c r="C56" s="147"/>
      <c r="D56" s="147"/>
      <c r="E56" s="147"/>
      <c r="F56" s="147"/>
    </row>
    <row r="57" spans="1:37" ht="15.75">
      <c r="A57" s="147"/>
      <c r="B57" s="147"/>
      <c r="C57" s="147"/>
      <c r="D57" s="147"/>
      <c r="E57" s="147"/>
      <c r="F57" s="147"/>
    </row>
    <row r="58" spans="1:37" ht="15.75">
      <c r="A58" s="147"/>
      <c r="B58" s="147"/>
      <c r="C58" s="147"/>
      <c r="D58" s="147"/>
      <c r="E58" s="147"/>
      <c r="F58" s="147"/>
    </row>
    <row r="59" spans="1:37" ht="15.75">
      <c r="A59" s="147"/>
      <c r="B59" s="147"/>
      <c r="C59" s="147"/>
      <c r="D59" s="147"/>
      <c r="E59" s="147"/>
      <c r="F59" s="147"/>
    </row>
    <row r="60" spans="1:37" ht="15.75">
      <c r="A60" s="147"/>
      <c r="B60" s="147"/>
      <c r="C60" s="147"/>
      <c r="D60" s="147"/>
      <c r="E60" s="147"/>
      <c r="F60" s="147"/>
    </row>
    <row r="61" spans="1:37" ht="15.75">
      <c r="A61" s="147"/>
      <c r="B61" s="147"/>
      <c r="C61" s="147"/>
      <c r="D61" s="147"/>
      <c r="E61" s="147"/>
      <c r="F61" s="147"/>
    </row>
    <row r="62" spans="1:37" ht="15.75">
      <c r="A62" s="147"/>
      <c r="B62" s="147"/>
      <c r="C62" s="147"/>
      <c r="D62" s="147"/>
      <c r="E62" s="147"/>
      <c r="F62" s="147"/>
    </row>
    <row r="63" spans="1:37" ht="15.75">
      <c r="A63" s="147"/>
      <c r="B63" s="147"/>
      <c r="C63" s="147"/>
      <c r="D63" s="147"/>
      <c r="E63" s="147"/>
      <c r="F63" s="147"/>
    </row>
    <row r="64" spans="1:37" ht="15.75">
      <c r="A64" s="147"/>
      <c r="B64" s="147"/>
      <c r="C64" s="147"/>
      <c r="D64" s="147"/>
      <c r="E64" s="147"/>
      <c r="F64" s="147"/>
    </row>
    <row r="65" spans="1:6" ht="15.75">
      <c r="A65" s="147"/>
      <c r="B65" s="147"/>
      <c r="C65" s="147"/>
      <c r="D65" s="147"/>
      <c r="E65" s="147"/>
      <c r="F65" s="147"/>
    </row>
    <row r="66" spans="1:6" ht="15.75">
      <c r="A66" s="147"/>
      <c r="B66" s="147"/>
      <c r="C66" s="147"/>
      <c r="D66" s="147"/>
      <c r="E66" s="147"/>
      <c r="F66" s="147"/>
    </row>
    <row r="67" spans="1:6" ht="15.75">
      <c r="A67" s="147"/>
      <c r="B67" s="147"/>
      <c r="C67" s="147"/>
      <c r="D67" s="147"/>
      <c r="E67" s="147"/>
      <c r="F67" s="147"/>
    </row>
    <row r="68" spans="1:6" ht="15.75">
      <c r="A68" s="147"/>
      <c r="B68" s="147"/>
      <c r="C68" s="147"/>
      <c r="D68" s="147"/>
      <c r="E68" s="147"/>
      <c r="F68" s="147"/>
    </row>
    <row r="69" spans="1:6" ht="15.75">
      <c r="A69" s="147"/>
      <c r="B69" s="147"/>
      <c r="C69" s="147"/>
      <c r="D69" s="147"/>
      <c r="E69" s="147"/>
      <c r="F69" s="147"/>
    </row>
    <row r="70" spans="1:6" ht="15.75">
      <c r="A70" s="147"/>
      <c r="B70" s="147"/>
      <c r="C70" s="147"/>
      <c r="D70" s="147"/>
      <c r="E70" s="147"/>
      <c r="F70" s="147"/>
    </row>
    <row r="71" spans="1:6" ht="15.75">
      <c r="A71" s="147"/>
      <c r="B71" s="147"/>
      <c r="C71" s="147"/>
      <c r="D71" s="147"/>
      <c r="E71" s="147"/>
      <c r="F71" s="147"/>
    </row>
    <row r="72" spans="1:6" ht="15.75">
      <c r="A72" s="147"/>
      <c r="B72" s="147"/>
      <c r="C72" s="147"/>
      <c r="D72" s="147"/>
      <c r="E72" s="147"/>
      <c r="F72" s="147"/>
    </row>
    <row r="73" spans="1:6" ht="15.75">
      <c r="A73" s="147"/>
      <c r="B73" s="147"/>
      <c r="C73" s="147"/>
      <c r="D73" s="147"/>
      <c r="E73" s="147"/>
      <c r="F73" s="147"/>
    </row>
    <row r="74" spans="1:6" ht="15.75">
      <c r="A74" s="147"/>
      <c r="B74" s="147"/>
      <c r="C74" s="147"/>
      <c r="D74" s="147"/>
      <c r="E74" s="147"/>
      <c r="F74" s="147"/>
    </row>
    <row r="75" spans="1:6" ht="15.75">
      <c r="A75" s="147"/>
      <c r="B75" s="147"/>
      <c r="C75" s="147"/>
      <c r="D75" s="147"/>
      <c r="E75" s="147"/>
      <c r="F75" s="147"/>
    </row>
    <row r="76" spans="1:6" ht="15.75">
      <c r="A76" s="147"/>
      <c r="B76" s="147"/>
      <c r="C76" s="147"/>
      <c r="D76" s="147"/>
      <c r="E76" s="147"/>
      <c r="F76" s="147"/>
    </row>
    <row r="77" spans="1:6" ht="15.75">
      <c r="A77" s="147"/>
      <c r="B77" s="147"/>
      <c r="C77" s="147"/>
      <c r="D77" s="147"/>
      <c r="E77" s="147"/>
      <c r="F77" s="147"/>
    </row>
    <row r="78" spans="1:6" ht="15.75">
      <c r="A78" s="147"/>
      <c r="B78" s="147"/>
      <c r="C78" s="147"/>
      <c r="D78" s="147"/>
      <c r="E78" s="147"/>
      <c r="F78" s="147"/>
    </row>
    <row r="79" spans="1:6" ht="15.75">
      <c r="A79" s="147"/>
      <c r="B79" s="147"/>
      <c r="C79" s="147"/>
      <c r="D79" s="147"/>
      <c r="E79" s="147"/>
      <c r="F79" s="147"/>
    </row>
    <row r="80" spans="1:6" ht="15.75">
      <c r="A80" s="147"/>
      <c r="B80" s="147"/>
      <c r="C80" s="147"/>
      <c r="D80" s="147"/>
      <c r="E80" s="147"/>
      <c r="F80" s="147"/>
    </row>
    <row r="81" spans="1:6" ht="15.75">
      <c r="A81" s="147"/>
      <c r="B81" s="147"/>
      <c r="C81" s="147"/>
      <c r="D81" s="147"/>
      <c r="E81" s="147"/>
      <c r="F81" s="147"/>
    </row>
    <row r="82" spans="1:6" ht="15.75">
      <c r="A82" s="147"/>
      <c r="B82" s="147"/>
      <c r="C82" s="147"/>
      <c r="D82" s="147"/>
      <c r="E82" s="147"/>
      <c r="F82" s="147"/>
    </row>
    <row r="83" spans="1:6" ht="15.75">
      <c r="A83" s="147"/>
      <c r="B83" s="147"/>
      <c r="C83" s="147"/>
      <c r="D83" s="147"/>
      <c r="E83" s="147"/>
      <c r="F83" s="147"/>
    </row>
    <row r="84" spans="1:6" ht="15.75">
      <c r="A84" s="147"/>
      <c r="B84" s="147"/>
      <c r="C84" s="147"/>
      <c r="D84" s="147"/>
      <c r="E84" s="147"/>
      <c r="F84" s="147"/>
    </row>
    <row r="85" spans="1:6" ht="15.75">
      <c r="A85" s="147"/>
      <c r="B85" s="147"/>
      <c r="C85" s="147"/>
      <c r="D85" s="147"/>
      <c r="E85" s="147"/>
      <c r="F85" s="147"/>
    </row>
    <row r="86" spans="1:6" ht="15.75">
      <c r="A86" s="147"/>
      <c r="B86" s="147"/>
      <c r="C86" s="147"/>
      <c r="D86" s="147"/>
      <c r="E86" s="147"/>
      <c r="F86" s="147"/>
    </row>
    <row r="87" spans="1:6" ht="15.75">
      <c r="A87" s="147"/>
      <c r="B87" s="147"/>
      <c r="C87" s="147"/>
      <c r="D87" s="147"/>
      <c r="E87" s="147"/>
      <c r="F87" s="147"/>
    </row>
    <row r="88" spans="1:6" ht="15.75">
      <c r="A88" s="147"/>
      <c r="B88" s="147"/>
      <c r="C88" s="147"/>
      <c r="D88" s="147"/>
      <c r="E88" s="147"/>
      <c r="F88" s="147"/>
    </row>
    <row r="89" spans="1:6" ht="15.75">
      <c r="A89" s="147"/>
      <c r="B89" s="147"/>
      <c r="C89" s="147"/>
      <c r="D89" s="147"/>
      <c r="E89" s="147"/>
      <c r="F89" s="147"/>
    </row>
    <row r="90" spans="1:6" ht="15.75">
      <c r="A90" s="147"/>
      <c r="B90" s="147"/>
      <c r="C90" s="147"/>
      <c r="D90" s="147"/>
      <c r="E90" s="147"/>
      <c r="F90" s="147"/>
    </row>
    <row r="91" spans="1:6" ht="15.75">
      <c r="A91" s="147"/>
      <c r="B91" s="147"/>
      <c r="C91" s="147"/>
      <c r="D91" s="147"/>
      <c r="E91" s="147"/>
      <c r="F91" s="147"/>
    </row>
    <row r="92" spans="1:6" ht="15.75">
      <c r="A92" s="147"/>
      <c r="B92" s="147"/>
      <c r="C92" s="147"/>
      <c r="D92" s="147"/>
      <c r="E92" s="147"/>
      <c r="F92" s="147"/>
    </row>
    <row r="93" spans="1:6" ht="15.75">
      <c r="A93" s="147"/>
      <c r="B93" s="147"/>
      <c r="C93" s="147"/>
      <c r="D93" s="147"/>
      <c r="E93" s="147"/>
      <c r="F93" s="147"/>
    </row>
    <row r="94" spans="1:6" ht="15.75">
      <c r="A94" s="147"/>
      <c r="B94" s="147"/>
      <c r="C94" s="147"/>
      <c r="D94" s="147"/>
      <c r="E94" s="147"/>
      <c r="F94" s="147"/>
    </row>
    <row r="95" spans="1:6" ht="15.75">
      <c r="A95" s="147"/>
      <c r="B95" s="147"/>
      <c r="C95" s="147"/>
      <c r="D95" s="147"/>
      <c r="E95" s="147"/>
      <c r="F95" s="147"/>
    </row>
    <row r="96" spans="1:6" ht="15.75">
      <c r="A96" s="147"/>
      <c r="B96" s="147"/>
      <c r="C96" s="147"/>
      <c r="D96" s="147"/>
      <c r="E96" s="147"/>
      <c r="F96" s="147"/>
    </row>
    <row r="97" spans="1:6" ht="15.75">
      <c r="A97" s="147"/>
      <c r="B97" s="147"/>
      <c r="C97" s="147"/>
      <c r="D97" s="147"/>
      <c r="E97" s="147"/>
      <c r="F97" s="147"/>
    </row>
    <row r="98" spans="1:6" ht="15.75">
      <c r="A98" s="147"/>
      <c r="B98" s="147"/>
      <c r="C98" s="147"/>
      <c r="D98" s="147"/>
      <c r="E98" s="147"/>
      <c r="F98" s="147"/>
    </row>
    <row r="99" spans="1:6" ht="15.75">
      <c r="A99" s="147"/>
      <c r="B99" s="147"/>
      <c r="C99" s="147"/>
      <c r="D99" s="147"/>
      <c r="E99" s="147"/>
      <c r="F99" s="147"/>
    </row>
    <row r="100" spans="1:6" ht="15.75">
      <c r="A100" s="147"/>
      <c r="B100" s="147"/>
      <c r="C100" s="147"/>
      <c r="D100" s="147"/>
      <c r="E100" s="147"/>
      <c r="F100" s="147"/>
    </row>
    <row r="101" spans="1:6" ht="15.75">
      <c r="A101" s="147"/>
      <c r="B101" s="147"/>
      <c r="C101" s="147"/>
      <c r="D101" s="147"/>
      <c r="E101" s="147"/>
      <c r="F101" s="147"/>
    </row>
    <row r="102" spans="1:6" ht="15.75">
      <c r="A102" s="147"/>
      <c r="B102" s="147"/>
      <c r="C102" s="147"/>
      <c r="D102" s="147"/>
      <c r="E102" s="147"/>
      <c r="F102" s="147"/>
    </row>
    <row r="103" spans="1:6" ht="9.75" customHeight="1">
      <c r="A103" s="147"/>
      <c r="B103" s="147"/>
      <c r="C103" s="147"/>
      <c r="D103" s="147"/>
      <c r="E103" s="147"/>
      <c r="F103" s="147"/>
    </row>
    <row r="104" spans="1:6" ht="15.75">
      <c r="A104" s="147"/>
      <c r="B104" s="147"/>
      <c r="C104" s="147"/>
      <c r="D104" s="147"/>
      <c r="E104" s="147"/>
      <c r="F104" s="147"/>
    </row>
    <row r="105" spans="1:6" ht="15.75">
      <c r="A105" s="147"/>
      <c r="B105" s="147"/>
      <c r="C105" s="147"/>
      <c r="D105" s="147"/>
      <c r="E105" s="147"/>
      <c r="F105" s="147"/>
    </row>
    <row r="106" spans="1:6" ht="15.75">
      <c r="A106" s="147"/>
      <c r="B106" s="147"/>
      <c r="C106" s="147"/>
      <c r="D106" s="147"/>
      <c r="E106" s="147"/>
      <c r="F106" s="147"/>
    </row>
    <row r="107" spans="1:6" ht="15.75">
      <c r="A107" s="147"/>
      <c r="B107" s="147"/>
      <c r="C107" s="147"/>
      <c r="D107" s="147"/>
      <c r="E107" s="147"/>
      <c r="F107" s="147"/>
    </row>
    <row r="108" spans="1:6" ht="15.75">
      <c r="A108" s="147"/>
      <c r="B108" s="147"/>
      <c r="C108" s="147"/>
      <c r="D108" s="147"/>
      <c r="E108" s="147"/>
      <c r="F108" s="147"/>
    </row>
    <row r="109" spans="1:6" ht="15.75">
      <c r="A109" s="147"/>
      <c r="B109" s="147"/>
      <c r="C109" s="147"/>
      <c r="D109" s="147"/>
      <c r="E109" s="147"/>
      <c r="F109" s="147"/>
    </row>
    <row r="110" spans="1:6" ht="15.75">
      <c r="A110" s="147"/>
      <c r="B110" s="147"/>
      <c r="C110" s="147"/>
      <c r="D110" s="147"/>
      <c r="E110" s="147"/>
      <c r="F110" s="147"/>
    </row>
    <row r="111" spans="1:6" ht="15.75">
      <c r="A111" s="147"/>
      <c r="B111" s="147"/>
      <c r="C111" s="147"/>
      <c r="D111" s="147"/>
      <c r="E111" s="147"/>
      <c r="F111" s="147"/>
    </row>
    <row r="112" spans="1:6" ht="15.75">
      <c r="A112" s="147"/>
      <c r="B112" s="147"/>
      <c r="C112" s="147"/>
      <c r="D112" s="147"/>
      <c r="E112" s="147"/>
      <c r="F112" s="147"/>
    </row>
    <row r="113" spans="1:6" ht="15.75">
      <c r="A113" s="147"/>
      <c r="B113" s="147"/>
      <c r="C113" s="147"/>
      <c r="D113" s="147"/>
      <c r="E113" s="147"/>
      <c r="F113" s="147"/>
    </row>
    <row r="114" spans="1:6" ht="15.75">
      <c r="A114" s="147"/>
      <c r="B114" s="147"/>
      <c r="C114" s="147"/>
      <c r="D114" s="147"/>
      <c r="E114" s="147"/>
      <c r="F114" s="147"/>
    </row>
    <row r="115" spans="1:6" ht="15.75">
      <c r="A115" s="147"/>
      <c r="B115" s="147"/>
      <c r="C115" s="147"/>
      <c r="D115" s="147"/>
      <c r="E115" s="147"/>
      <c r="F115" s="147"/>
    </row>
    <row r="116" spans="1:6" ht="15.75">
      <c r="A116" s="147"/>
      <c r="B116" s="147"/>
      <c r="C116" s="147"/>
      <c r="D116" s="147"/>
      <c r="E116" s="147"/>
      <c r="F116" s="147"/>
    </row>
    <row r="117" spans="1:6" ht="15.75">
      <c r="A117" s="147"/>
      <c r="B117" s="147"/>
      <c r="C117" s="147"/>
      <c r="D117" s="147"/>
      <c r="E117" s="147"/>
      <c r="F117" s="147"/>
    </row>
    <row r="118" spans="1:6" ht="15.75">
      <c r="A118" s="147"/>
      <c r="B118" s="147"/>
      <c r="C118" s="147"/>
      <c r="D118" s="147"/>
      <c r="E118" s="147"/>
      <c r="F118" s="147"/>
    </row>
    <row r="119" spans="1:6" ht="15.75">
      <c r="A119" s="147"/>
      <c r="B119" s="147"/>
      <c r="C119" s="147"/>
      <c r="D119" s="147"/>
      <c r="E119" s="147"/>
      <c r="F119" s="147"/>
    </row>
    <row r="120" spans="1:6" ht="15.75">
      <c r="A120" s="147"/>
      <c r="B120" s="147"/>
      <c r="C120" s="147"/>
      <c r="D120" s="147"/>
      <c r="E120" s="147"/>
      <c r="F120" s="147"/>
    </row>
    <row r="121" spans="1:6" ht="15.75">
      <c r="A121" s="147"/>
      <c r="B121" s="147"/>
      <c r="C121" s="147"/>
      <c r="D121" s="147"/>
      <c r="E121" s="147"/>
      <c r="F121" s="147"/>
    </row>
    <row r="122" spans="1:6" ht="15.75">
      <c r="A122" s="147"/>
      <c r="B122" s="147"/>
      <c r="C122" s="147"/>
      <c r="D122" s="147"/>
      <c r="E122" s="147"/>
      <c r="F122" s="147"/>
    </row>
    <row r="123" spans="1:6" ht="15.75">
      <c r="A123" s="147"/>
      <c r="B123" s="147"/>
      <c r="C123" s="147"/>
      <c r="D123" s="147"/>
      <c r="E123" s="147"/>
      <c r="F123" s="147"/>
    </row>
    <row r="124" spans="1:6" ht="15.75">
      <c r="A124" s="147"/>
      <c r="B124" s="147"/>
      <c r="C124" s="147"/>
      <c r="D124" s="147"/>
      <c r="E124" s="147"/>
      <c r="F124" s="147"/>
    </row>
    <row r="125" spans="1:6" ht="15.75">
      <c r="A125" s="147"/>
      <c r="B125" s="147"/>
      <c r="C125" s="147"/>
      <c r="D125" s="147"/>
      <c r="E125" s="147"/>
      <c r="F125" s="147"/>
    </row>
    <row r="126" spans="1:6" ht="15.75">
      <c r="A126" s="147"/>
      <c r="B126" s="147"/>
      <c r="C126" s="147"/>
      <c r="D126" s="147"/>
      <c r="E126" s="147"/>
      <c r="F126" s="147"/>
    </row>
    <row r="127" spans="1:6" ht="15.75">
      <c r="A127" s="147"/>
      <c r="B127" s="147"/>
      <c r="C127" s="147"/>
      <c r="D127" s="147"/>
      <c r="E127" s="147"/>
      <c r="F127" s="147"/>
    </row>
  </sheetData>
  <mergeCells count="17">
    <mergeCell ref="A45:F45"/>
    <mergeCell ref="B3:D3"/>
    <mergeCell ref="A13:F13"/>
    <mergeCell ref="A14:F14"/>
    <mergeCell ref="A16:B16"/>
    <mergeCell ref="A17:B17"/>
    <mergeCell ref="A18:B18"/>
    <mergeCell ref="A19:B19"/>
    <mergeCell ref="A20:B20"/>
    <mergeCell ref="A21:B21"/>
    <mergeCell ref="A22:B22"/>
    <mergeCell ref="A23:B23"/>
    <mergeCell ref="A47:B47"/>
    <mergeCell ref="A48:B48"/>
    <mergeCell ref="A49:B49"/>
    <mergeCell ref="A50:B50"/>
    <mergeCell ref="A51:B51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7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3"/>
  <sheetViews>
    <sheetView topLeftCell="I22" zoomScale="90" zoomScaleNormal="90" workbookViewId="0">
      <selection activeCell="X49" sqref="X49:X51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9.12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2.5" style="2" bestFit="1" customWidth="1"/>
    <col min="12" max="12" width="11.875" style="2" bestFit="1" customWidth="1"/>
    <col min="13" max="14" width="11.5" style="2" customWidth="1"/>
    <col min="15" max="15" width="11.125" style="2" bestFit="1" customWidth="1"/>
    <col min="16" max="16" width="13.25" style="2" bestFit="1" customWidth="1"/>
    <col min="17" max="17" width="12.75" style="2" customWidth="1"/>
    <col min="18" max="18" width="12.5" style="2" bestFit="1" customWidth="1"/>
    <col min="19" max="19" width="11.25" style="2" customWidth="1"/>
    <col min="20" max="20" width="12.5" style="2" bestFit="1" customWidth="1"/>
    <col min="21" max="21" width="11.125" style="2" bestFit="1" customWidth="1"/>
    <col min="22" max="22" width="15.875" style="2" customWidth="1"/>
    <col min="23" max="23" width="10.75" style="2" customWidth="1"/>
    <col min="24" max="24" width="13.625" style="2" customWidth="1"/>
    <col min="25" max="25" width="11.875" style="2" customWidth="1"/>
    <col min="26" max="26" width="12.5" style="2" bestFit="1" customWidth="1"/>
    <col min="27" max="27" width="11.5" style="2" customWidth="1"/>
    <col min="28" max="28" width="11" style="2" customWidth="1"/>
    <col min="29" max="29" width="9" style="2"/>
    <col min="30" max="30" width="14" style="2" customWidth="1"/>
    <col min="31" max="16384" width="9" style="2"/>
  </cols>
  <sheetData>
    <row r="1" spans="1:29" ht="15.95" customHeight="1">
      <c r="E1" s="3"/>
      <c r="F1" s="3" t="s">
        <v>17</v>
      </c>
    </row>
    <row r="2" spans="1:29" ht="15.95" customHeight="1">
      <c r="E2" s="3"/>
      <c r="F2" s="3" t="s">
        <v>36</v>
      </c>
    </row>
    <row r="3" spans="1:29" ht="15.95" customHeight="1">
      <c r="B3" s="175" t="s">
        <v>30</v>
      </c>
      <c r="C3" s="175"/>
      <c r="D3" s="175"/>
      <c r="E3" s="3"/>
      <c r="F3" s="3" t="s">
        <v>37</v>
      </c>
    </row>
    <row r="4" spans="1:29" ht="15.95" customHeight="1">
      <c r="E4" s="3"/>
      <c r="F4" s="3" t="s">
        <v>38</v>
      </c>
    </row>
    <row r="5" spans="1:29" ht="15.95" customHeight="1">
      <c r="E5" s="3"/>
      <c r="F5" s="3" t="s">
        <v>18</v>
      </c>
    </row>
    <row r="6" spans="1:29" ht="15.75">
      <c r="A6" s="4"/>
      <c r="B6" s="4"/>
      <c r="C6" s="4"/>
      <c r="D6" s="5"/>
      <c r="E6" s="5"/>
      <c r="F6" s="4"/>
    </row>
    <row r="7" spans="1:29" ht="15.75">
      <c r="D7" s="3"/>
      <c r="E7" s="3"/>
    </row>
    <row r="8" spans="1:29" ht="19.5" customHeight="1">
      <c r="A8" s="6" t="s">
        <v>25</v>
      </c>
      <c r="B8" s="7" t="s">
        <v>26</v>
      </c>
    </row>
    <row r="9" spans="1:29" ht="19.5" customHeight="1">
      <c r="A9" s="6" t="s">
        <v>27</v>
      </c>
      <c r="B9" s="7" t="s">
        <v>64</v>
      </c>
    </row>
    <row r="10" spans="1:29" ht="19.5" customHeight="1">
      <c r="A10" s="6" t="s">
        <v>28</v>
      </c>
      <c r="B10" s="8">
        <v>41197</v>
      </c>
    </row>
    <row r="11" spans="1:29" ht="19.5" customHeight="1">
      <c r="A11" s="6" t="s">
        <v>29</v>
      </c>
      <c r="B11" s="7" t="s">
        <v>179</v>
      </c>
    </row>
    <row r="12" spans="1:29" ht="19.5" customHeight="1">
      <c r="A12" s="6"/>
      <c r="B12" s="7"/>
    </row>
    <row r="13" spans="1:29" ht="24.75" customHeight="1">
      <c r="A13" s="184"/>
      <c r="B13" s="184"/>
      <c r="C13" s="184"/>
      <c r="D13" s="184"/>
      <c r="E13" s="184"/>
      <c r="F13" s="184"/>
    </row>
    <row r="14" spans="1:29" ht="31.5" customHeight="1">
      <c r="A14" s="183" t="s">
        <v>87</v>
      </c>
      <c r="B14" s="183"/>
      <c r="C14" s="183"/>
      <c r="D14" s="183"/>
      <c r="E14" s="183"/>
      <c r="F14" s="183"/>
    </row>
    <row r="15" spans="1:29">
      <c r="K15" s="64"/>
      <c r="L15" s="64"/>
      <c r="M15" s="64"/>
      <c r="N15" s="64"/>
    </row>
    <row r="16" spans="1:29" ht="38.25">
      <c r="A16" s="185"/>
      <c r="B16" s="185"/>
      <c r="C16" s="9" t="s">
        <v>154</v>
      </c>
      <c r="D16" s="9" t="s">
        <v>180</v>
      </c>
      <c r="E16" s="9" t="s">
        <v>19</v>
      </c>
      <c r="F16" s="9" t="s">
        <v>181</v>
      </c>
      <c r="G16" s="10">
        <v>1</v>
      </c>
      <c r="H16" s="2" t="s">
        <v>31</v>
      </c>
      <c r="I16" s="10">
        <v>1</v>
      </c>
      <c r="K16" s="9" t="s">
        <v>152</v>
      </c>
      <c r="L16" s="9" t="s">
        <v>183</v>
      </c>
      <c r="M16" s="9">
        <v>2012</v>
      </c>
      <c r="N16" s="9" t="s">
        <v>110</v>
      </c>
      <c r="O16" s="9" t="s">
        <v>184</v>
      </c>
      <c r="P16" s="9" t="s">
        <v>150</v>
      </c>
      <c r="Q16" s="9">
        <v>2011</v>
      </c>
      <c r="R16" s="9" t="s">
        <v>65</v>
      </c>
      <c r="S16" s="9" t="s">
        <v>141</v>
      </c>
      <c r="T16" s="9" t="s">
        <v>149</v>
      </c>
      <c r="U16" s="9">
        <v>2010</v>
      </c>
      <c r="V16" s="9" t="s">
        <v>1</v>
      </c>
      <c r="W16" s="9" t="s">
        <v>142</v>
      </c>
      <c r="X16" s="9" t="s">
        <v>76</v>
      </c>
      <c r="Y16" s="9">
        <v>2009</v>
      </c>
      <c r="Z16" s="9" t="s">
        <v>74</v>
      </c>
      <c r="AA16" s="9" t="s">
        <v>143</v>
      </c>
      <c r="AB16" s="9" t="s">
        <v>77</v>
      </c>
      <c r="AC16" s="9">
        <v>2008</v>
      </c>
    </row>
    <row r="17" spans="1:29" ht="15.75" customHeight="1">
      <c r="A17" s="186" t="s">
        <v>20</v>
      </c>
      <c r="B17" s="186"/>
      <c r="C17" s="11">
        <f t="shared" ref="C17:D22" si="0">K17</f>
        <v>2160925</v>
      </c>
      <c r="D17" s="11">
        <f t="shared" si="0"/>
        <v>2186788</v>
      </c>
      <c r="E17" s="12">
        <f t="shared" ref="E17:E23" si="1">(D17/C17)</f>
        <v>1.0119684857179216</v>
      </c>
      <c r="F17" s="29">
        <f t="shared" ref="F17:F22" si="2">D17-G17</f>
        <v>25863</v>
      </c>
      <c r="G17" s="14">
        <f>C17*1</f>
        <v>2160925</v>
      </c>
      <c r="H17" s="15">
        <v>0</v>
      </c>
      <c r="I17" s="10">
        <v>1</v>
      </c>
      <c r="J17" s="21" t="str">
        <f t="shared" ref="J17:J22" si="3">A17</f>
        <v>Current / Delinquent Taxes</v>
      </c>
      <c r="K17" s="129">
        <v>2160925</v>
      </c>
      <c r="L17" s="129">
        <v>2186788</v>
      </c>
      <c r="M17" s="141">
        <f>L17/K17</f>
        <v>1.0119684857179216</v>
      </c>
      <c r="N17" s="129">
        <v>0</v>
      </c>
      <c r="O17" s="129">
        <v>0</v>
      </c>
      <c r="P17" s="11">
        <v>0</v>
      </c>
      <c r="Q17" s="140" t="e">
        <f>O17/P17</f>
        <v>#DIV/0!</v>
      </c>
      <c r="R17" s="11">
        <v>4337995</v>
      </c>
      <c r="S17" s="11">
        <v>4332761.68</v>
      </c>
      <c r="T17" s="11">
        <v>4339903</v>
      </c>
      <c r="U17" s="12">
        <f>S17/T17</f>
        <v>0.9983544977848583</v>
      </c>
      <c r="V17" s="11">
        <f>'FY 2009 Rev 01-15-10'!E3</f>
        <v>4070011</v>
      </c>
      <c r="W17" s="11">
        <v>4089020.4200000004</v>
      </c>
      <c r="X17" s="11">
        <f>'FY 2009 Rev 01-15-10'!D3</f>
        <v>4095648.34</v>
      </c>
      <c r="Y17" s="12">
        <f t="shared" ref="Y17:Y23" si="4">W17/X17</f>
        <v>0.99838171653184471</v>
      </c>
      <c r="Z17" s="11">
        <f>'FY 2008 Rev 01-15-10'!E3</f>
        <v>762480</v>
      </c>
      <c r="AA17" s="11">
        <v>788839.59</v>
      </c>
      <c r="AB17" s="11">
        <f>'FY 2008 Rev 01-15-10'!D3</f>
        <v>788839.59</v>
      </c>
      <c r="AC17" s="12">
        <f t="shared" ref="AC17:AC23" si="5">AA17/AB17</f>
        <v>1</v>
      </c>
    </row>
    <row r="18" spans="1:29" ht="15.75" customHeight="1">
      <c r="A18" s="186" t="s">
        <v>66</v>
      </c>
      <c r="B18" s="186"/>
      <c r="C18" s="22">
        <f t="shared" si="0"/>
        <v>1300</v>
      </c>
      <c r="D18" s="22">
        <f t="shared" si="0"/>
        <v>1377</v>
      </c>
      <c r="E18" s="12">
        <f t="shared" si="1"/>
        <v>1.0592307692307692</v>
      </c>
      <c r="F18" s="22">
        <f>D18-G18</f>
        <v>77</v>
      </c>
      <c r="G18" s="14">
        <f t="shared" ref="G18:G23" si="6">C18*1</f>
        <v>1300</v>
      </c>
      <c r="H18" s="15">
        <v>0</v>
      </c>
      <c r="I18" s="10">
        <v>1</v>
      </c>
      <c r="J18" s="21" t="str">
        <f t="shared" si="3"/>
        <v>License / Permits</v>
      </c>
      <c r="K18" s="129">
        <v>1300</v>
      </c>
      <c r="L18" s="129">
        <v>1377</v>
      </c>
      <c r="M18" s="141">
        <f t="shared" ref="M18:M23" si="7">L18/K18</f>
        <v>1.0592307692307692</v>
      </c>
      <c r="N18" s="129">
        <v>2000</v>
      </c>
      <c r="O18" s="129">
        <v>1431</v>
      </c>
      <c r="P18" s="28">
        <v>1431</v>
      </c>
      <c r="Q18" s="141">
        <f t="shared" ref="Q18:Q23" si="8">O18/P18</f>
        <v>1</v>
      </c>
      <c r="R18" s="16">
        <v>1854</v>
      </c>
      <c r="S18" s="28">
        <v>1620</v>
      </c>
      <c r="T18" s="28">
        <v>1656</v>
      </c>
      <c r="U18" s="12">
        <f t="shared" ref="U18:U23" si="9">S18/T18</f>
        <v>0.97826086956521741</v>
      </c>
      <c r="V18" s="28">
        <f>'FY 2009 Rev 01-15-10'!E5</f>
        <v>3000</v>
      </c>
      <c r="W18" s="28">
        <v>1476</v>
      </c>
      <c r="X18" s="28">
        <f>'FY 2009 Rev 01-15-10'!D5</f>
        <v>1476</v>
      </c>
      <c r="Y18" s="12">
        <f t="shared" si="4"/>
        <v>1</v>
      </c>
      <c r="Z18" s="28">
        <f>'FY 2008 Rev 01-15-10'!E5</f>
        <v>7500</v>
      </c>
      <c r="AA18" s="28">
        <v>3209</v>
      </c>
      <c r="AB18" s="28">
        <f>'FY 2008 Rev 01-15-10'!D5</f>
        <v>3209</v>
      </c>
      <c r="AC18" s="12">
        <f t="shared" si="5"/>
        <v>1</v>
      </c>
    </row>
    <row r="19" spans="1:29" ht="24.75" customHeight="1">
      <c r="A19" s="186" t="s">
        <v>2</v>
      </c>
      <c r="B19" s="186"/>
      <c r="C19" s="22">
        <f t="shared" si="0"/>
        <v>13214500</v>
      </c>
      <c r="D19" s="22">
        <f t="shared" si="0"/>
        <v>14061084</v>
      </c>
      <c r="E19" s="12">
        <f t="shared" si="1"/>
        <v>1.0640647773279353</v>
      </c>
      <c r="F19" s="22">
        <f t="shared" si="2"/>
        <v>846584</v>
      </c>
      <c r="G19" s="14">
        <f t="shared" si="6"/>
        <v>13214500</v>
      </c>
      <c r="H19" s="27">
        <v>0</v>
      </c>
      <c r="I19" s="10">
        <v>1</v>
      </c>
      <c r="J19" s="21" t="str">
        <f t="shared" si="3"/>
        <v>Fees/Charges for Services</v>
      </c>
      <c r="K19" s="129">
        <v>13214500</v>
      </c>
      <c r="L19" s="129">
        <f>198006+13863078</f>
        <v>14061084</v>
      </c>
      <c r="M19" s="141">
        <f t="shared" si="7"/>
        <v>1.0640647773279353</v>
      </c>
      <c r="N19" s="129">
        <v>13169000</v>
      </c>
      <c r="O19" s="129">
        <v>13131612</v>
      </c>
      <c r="P19" s="28">
        <v>13131612</v>
      </c>
      <c r="Q19" s="141">
        <f t="shared" si="8"/>
        <v>1</v>
      </c>
      <c r="R19" s="16">
        <v>12094490</v>
      </c>
      <c r="S19" s="28">
        <v>12058465.6</v>
      </c>
      <c r="T19" s="28">
        <v>12252721</v>
      </c>
      <c r="U19" s="12">
        <f t="shared" si="9"/>
        <v>0.98414593786963722</v>
      </c>
      <c r="V19" s="28">
        <f>'FY 2009 Rev 01-15-10'!E10</f>
        <v>11806400</v>
      </c>
      <c r="W19" s="28">
        <v>13174508.390000002</v>
      </c>
      <c r="X19" s="28">
        <f>'FY 2009 Rev 01-15-10'!D10</f>
        <v>13237833.390000001</v>
      </c>
      <c r="Y19" s="12">
        <f t="shared" si="4"/>
        <v>0.99521636221469334</v>
      </c>
      <c r="Z19" s="28">
        <f>'FY 2008 Rev 01-15-10'!E10</f>
        <v>11740700</v>
      </c>
      <c r="AA19" s="28">
        <v>13297241.34</v>
      </c>
      <c r="AB19" s="28">
        <f>'FY 2008 Rev 01-15-10'!D10</f>
        <v>13297241.34</v>
      </c>
      <c r="AC19" s="12">
        <f t="shared" si="5"/>
        <v>1</v>
      </c>
    </row>
    <row r="20" spans="1:29" ht="15.75" customHeight="1">
      <c r="A20" s="186" t="s">
        <v>4</v>
      </c>
      <c r="B20" s="186"/>
      <c r="C20" s="22">
        <f t="shared" si="0"/>
        <v>1741500</v>
      </c>
      <c r="D20" s="22">
        <f t="shared" si="0"/>
        <v>1812981</v>
      </c>
      <c r="E20" s="12">
        <f t="shared" si="1"/>
        <v>1.0410456503014642</v>
      </c>
      <c r="F20" s="22">
        <f t="shared" si="2"/>
        <v>71481</v>
      </c>
      <c r="G20" s="14">
        <f t="shared" si="6"/>
        <v>1741500</v>
      </c>
      <c r="H20" s="27">
        <v>0</v>
      </c>
      <c r="I20" s="10">
        <v>1</v>
      </c>
      <c r="J20" s="21" t="str">
        <f t="shared" si="3"/>
        <v>Fines</v>
      </c>
      <c r="K20" s="129">
        <v>1741500</v>
      </c>
      <c r="L20" s="129">
        <v>1812981</v>
      </c>
      <c r="M20" s="141">
        <f t="shared" si="7"/>
        <v>1.0410456503014642</v>
      </c>
      <c r="N20" s="129">
        <v>2066000</v>
      </c>
      <c r="O20" s="129">
        <v>1819075</v>
      </c>
      <c r="P20" s="28">
        <v>1819075</v>
      </c>
      <c r="Q20" s="141">
        <f t="shared" si="8"/>
        <v>1</v>
      </c>
      <c r="R20" s="16">
        <v>2295355</v>
      </c>
      <c r="S20" s="28">
        <v>2013491.08</v>
      </c>
      <c r="T20" s="28">
        <v>2025223</v>
      </c>
      <c r="U20" s="12">
        <f t="shared" si="9"/>
        <v>0.99420709719374112</v>
      </c>
      <c r="V20" s="28">
        <f>'FY 2009 Rev 01-15-10'!E12</f>
        <v>1904500</v>
      </c>
      <c r="W20" s="28">
        <v>2190630.58</v>
      </c>
      <c r="X20" s="28">
        <f>'FY 2009 Rev 01-15-10'!D12</f>
        <v>2213669.08</v>
      </c>
      <c r="Y20" s="12">
        <f t="shared" si="4"/>
        <v>0.98959261788125985</v>
      </c>
      <c r="Z20" s="28">
        <f>'FY 2008 Rev 01-15-10'!E12</f>
        <v>2042325</v>
      </c>
      <c r="AA20" s="28">
        <v>2340429.91</v>
      </c>
      <c r="AB20" s="28">
        <f>'FY 2008 Rev 01-15-10'!D12</f>
        <v>2340429.91</v>
      </c>
      <c r="AC20" s="12">
        <f t="shared" si="5"/>
        <v>1</v>
      </c>
    </row>
    <row r="21" spans="1:29" ht="15.75" customHeight="1">
      <c r="A21" s="186" t="s">
        <v>3</v>
      </c>
      <c r="B21" s="186"/>
      <c r="C21" s="22">
        <f t="shared" si="0"/>
        <v>180000</v>
      </c>
      <c r="D21" s="22">
        <f t="shared" si="0"/>
        <v>123399</v>
      </c>
      <c r="E21" s="12">
        <f t="shared" si="1"/>
        <v>0.68554999999999999</v>
      </c>
      <c r="F21" s="22">
        <f t="shared" si="2"/>
        <v>-56601</v>
      </c>
      <c r="G21" s="14">
        <f t="shared" si="6"/>
        <v>180000</v>
      </c>
      <c r="H21" s="27">
        <f>C21-D21</f>
        <v>56601</v>
      </c>
      <c r="I21" s="10">
        <v>1</v>
      </c>
      <c r="J21" s="21" t="str">
        <f t="shared" si="3"/>
        <v>Investment Revenue</v>
      </c>
      <c r="K21" s="129">
        <v>180000</v>
      </c>
      <c r="L21" s="129">
        <v>123399</v>
      </c>
      <c r="M21" s="141">
        <f t="shared" si="7"/>
        <v>0.68554999999999999</v>
      </c>
      <c r="N21" s="129">
        <v>120000</v>
      </c>
      <c r="O21" s="129">
        <v>187042</v>
      </c>
      <c r="P21" s="28">
        <v>194336</v>
      </c>
      <c r="Q21" s="141">
        <f t="shared" si="8"/>
        <v>0.96246706734727483</v>
      </c>
      <c r="R21" s="16">
        <v>280881</v>
      </c>
      <c r="S21" s="28">
        <v>204373.62</v>
      </c>
      <c r="T21" s="28">
        <v>222534</v>
      </c>
      <c r="U21" s="12">
        <f t="shared" si="9"/>
        <v>0.91839278492275334</v>
      </c>
      <c r="V21" s="28">
        <f>'FY 2009 Rev 01-15-10'!E14</f>
        <v>305000</v>
      </c>
      <c r="W21" s="28">
        <v>275539.69999999995</v>
      </c>
      <c r="X21" s="28">
        <f>'FY 2009 Rev 01-15-10'!D14</f>
        <v>284617.61</v>
      </c>
      <c r="Y21" s="12">
        <f t="shared" si="4"/>
        <v>0.96810488992582</v>
      </c>
      <c r="Z21" s="28">
        <f>'FY 2008 Rev 01-15-10'!E14</f>
        <v>572500</v>
      </c>
      <c r="AA21" s="28">
        <v>457042.89</v>
      </c>
      <c r="AB21" s="28">
        <f>'FY 2008 Rev 01-15-10'!D14</f>
        <v>457042.89</v>
      </c>
      <c r="AC21" s="12">
        <f t="shared" si="5"/>
        <v>1</v>
      </c>
    </row>
    <row r="22" spans="1:29" ht="15.75" customHeight="1" thickBot="1">
      <c r="A22" s="186" t="s">
        <v>21</v>
      </c>
      <c r="B22" s="186"/>
      <c r="C22" s="22">
        <f t="shared" si="0"/>
        <v>15000</v>
      </c>
      <c r="D22" s="22">
        <f t="shared" si="0"/>
        <v>193485</v>
      </c>
      <c r="E22" s="12">
        <f t="shared" si="1"/>
        <v>12.898999999999999</v>
      </c>
      <c r="F22" s="22">
        <f t="shared" si="2"/>
        <v>178485</v>
      </c>
      <c r="G22" s="14">
        <f t="shared" si="6"/>
        <v>15000</v>
      </c>
      <c r="H22" s="27">
        <v>0</v>
      </c>
      <c r="I22" s="10">
        <v>1</v>
      </c>
      <c r="J22" s="21" t="str">
        <f t="shared" si="3"/>
        <v>Miscellaneous</v>
      </c>
      <c r="K22" s="130">
        <v>15000</v>
      </c>
      <c r="L22" s="130">
        <f>16417+204922-27854</f>
        <v>193485</v>
      </c>
      <c r="M22" s="142">
        <f t="shared" si="7"/>
        <v>12.898999999999999</v>
      </c>
      <c r="N22" s="130">
        <f>15000+10000</f>
        <v>25000</v>
      </c>
      <c r="O22" s="130">
        <f>9307+49000</f>
        <v>58307</v>
      </c>
      <c r="P22" s="53">
        <f>49000+9304</f>
        <v>58304</v>
      </c>
      <c r="Q22" s="142">
        <f t="shared" si="8"/>
        <v>1.000051454445664</v>
      </c>
      <c r="R22" s="52">
        <v>25400</v>
      </c>
      <c r="S22" s="53">
        <v>279774.43</v>
      </c>
      <c r="T22" s="53">
        <f>11655+53850</f>
        <v>65505</v>
      </c>
      <c r="U22" s="77">
        <f t="shared" si="9"/>
        <v>4.271039309976338</v>
      </c>
      <c r="V22" s="53">
        <f>'FY 2009 Rev 01-15-10'!E16+'FY 2009 Rev 01-15-10'!E18+'FY 2009 Rev 01-15-10'!E20</f>
        <v>117000</v>
      </c>
      <c r="W22" s="53">
        <v>65838.149999999994</v>
      </c>
      <c r="X22" s="53">
        <f>'FY 2009 Rev 01-15-10'!D16+'FY 2009 Rev 01-15-10'!D18+'FY 2009 Rev 01-15-10'!D20</f>
        <v>65838.240000000005</v>
      </c>
      <c r="Y22" s="77">
        <f t="shared" si="4"/>
        <v>0.99999863301327596</v>
      </c>
      <c r="Z22" s="53">
        <f>'FY 2008 Rev 01-15-10'!E16+'FY 2008 Rev 01-15-10'!E18+'FY 2008 Rev 01-15-10'!E20</f>
        <v>90000</v>
      </c>
      <c r="AA22" s="53">
        <v>363410.55</v>
      </c>
      <c r="AB22" s="53">
        <f>'FY 2008 Rev 01-15-10'!D16+'FY 2008 Rev 01-15-10'!D18+'FY 2008 Rev 01-15-10'!D20</f>
        <v>363410.55000000005</v>
      </c>
      <c r="AC22" s="77">
        <f t="shared" si="5"/>
        <v>0.99999999999999989</v>
      </c>
    </row>
    <row r="23" spans="1:29" ht="15.75" customHeight="1" thickBot="1">
      <c r="A23" s="187" t="s">
        <v>22</v>
      </c>
      <c r="B23" s="187"/>
      <c r="C23" s="11">
        <f>SUM(C17:C22)</f>
        <v>17313225</v>
      </c>
      <c r="D23" s="11">
        <f>SUM(D17:D22)</f>
        <v>18379114</v>
      </c>
      <c r="E23" s="12">
        <f t="shared" si="1"/>
        <v>1.0615650174938522</v>
      </c>
      <c r="F23" s="17">
        <f>SUM(F17:F22)</f>
        <v>1065889</v>
      </c>
      <c r="G23" s="14">
        <f t="shared" si="6"/>
        <v>17313225</v>
      </c>
      <c r="H23" s="27"/>
      <c r="J23" s="21"/>
      <c r="K23" s="128">
        <f>SUM(K17:K22)</f>
        <v>17313225</v>
      </c>
      <c r="L23" s="51">
        <f>SUM(L17:L22)</f>
        <v>18379114</v>
      </c>
      <c r="M23" s="143">
        <f t="shared" si="7"/>
        <v>1.0615650174938522</v>
      </c>
      <c r="N23" s="128">
        <f>SUM(N17:N22)</f>
        <v>15382000</v>
      </c>
      <c r="O23" s="51">
        <f>SUM(O17:O22)</f>
        <v>15197467</v>
      </c>
      <c r="P23" s="51">
        <f>SUM(P17:P22)</f>
        <v>15204758</v>
      </c>
      <c r="Q23" s="143">
        <f t="shared" si="8"/>
        <v>0.99952047905004471</v>
      </c>
      <c r="R23" s="51">
        <f>SUM(R17:R22)</f>
        <v>19035975</v>
      </c>
      <c r="S23" s="51">
        <f>SUM(S17:S22)</f>
        <v>18890486.41</v>
      </c>
      <c r="T23" s="51">
        <f>SUM(T17:T22)</f>
        <v>18907542</v>
      </c>
      <c r="U23" s="78">
        <f t="shared" si="9"/>
        <v>0.99909794779247352</v>
      </c>
      <c r="V23" s="51">
        <f>SUM(V17:V22)</f>
        <v>18205911</v>
      </c>
      <c r="W23" s="51">
        <f>SUM(W17:W22)</f>
        <v>19797013.239999998</v>
      </c>
      <c r="X23" s="51">
        <f>SUM(X17:X22)</f>
        <v>19899082.66</v>
      </c>
      <c r="Y23" s="78">
        <f t="shared" si="4"/>
        <v>0.99487064696679828</v>
      </c>
      <c r="Z23" s="51">
        <f>SUM(Z17:Z22)</f>
        <v>15215505</v>
      </c>
      <c r="AA23" s="51">
        <f>SUM(AA17:AA22)</f>
        <v>17250173.280000001</v>
      </c>
      <c r="AB23" s="51">
        <f>SUM(AB17:AB22)</f>
        <v>17250173.280000001</v>
      </c>
      <c r="AC23" s="78">
        <f t="shared" si="5"/>
        <v>1</v>
      </c>
    </row>
    <row r="24" spans="1:29" ht="22.5" customHeight="1" thickTop="1">
      <c r="J24" s="21"/>
      <c r="K24" s="26"/>
    </row>
    <row r="25" spans="1:29">
      <c r="J25" s="21"/>
      <c r="K25" s="26"/>
      <c r="L25" s="15"/>
    </row>
    <row r="39" spans="1:34">
      <c r="J39" s="65"/>
      <c r="K39" s="65"/>
    </row>
    <row r="40" spans="1:34">
      <c r="J40" s="65"/>
      <c r="K40" s="65"/>
    </row>
    <row r="41" spans="1:34">
      <c r="J41" s="65"/>
      <c r="K41" s="65"/>
    </row>
    <row r="42" spans="1:34">
      <c r="J42" s="65"/>
      <c r="K42" s="65"/>
    </row>
    <row r="43" spans="1:34">
      <c r="J43" s="65"/>
      <c r="K43" s="65"/>
    </row>
    <row r="44" spans="1:34">
      <c r="J44" s="65"/>
      <c r="K44" s="65"/>
    </row>
    <row r="45" spans="1:34">
      <c r="J45" s="65"/>
      <c r="K45" s="65"/>
    </row>
    <row r="46" spans="1:34" ht="33" customHeight="1">
      <c r="A46" s="183" t="s">
        <v>88</v>
      </c>
      <c r="B46" s="183"/>
      <c r="C46" s="183"/>
      <c r="D46" s="183"/>
      <c r="E46" s="183"/>
      <c r="F46" s="183"/>
      <c r="J46" s="65"/>
      <c r="K46" s="65"/>
    </row>
    <row r="47" spans="1:34" ht="12" customHeight="1">
      <c r="B47" s="18"/>
      <c r="C47" s="18"/>
      <c r="D47" s="18"/>
      <c r="E47" s="18"/>
      <c r="J47" s="65"/>
      <c r="K47" s="65"/>
    </row>
    <row r="48" spans="1:34" ht="36" customHeight="1">
      <c r="A48" s="178"/>
      <c r="B48" s="178"/>
      <c r="C48" s="19" t="s">
        <v>154</v>
      </c>
      <c r="D48" s="19" t="s">
        <v>182</v>
      </c>
      <c r="E48" s="19" t="s">
        <v>19</v>
      </c>
      <c r="F48" s="9" t="s">
        <v>181</v>
      </c>
      <c r="G48" s="10">
        <v>1</v>
      </c>
      <c r="H48" s="2" t="s">
        <v>32</v>
      </c>
      <c r="K48" s="79" t="s">
        <v>154</v>
      </c>
      <c r="L48" s="75" t="s">
        <v>185</v>
      </c>
      <c r="M48" s="76">
        <v>2012</v>
      </c>
      <c r="N48" s="75" t="s">
        <v>156</v>
      </c>
      <c r="O48" s="79" t="s">
        <v>113</v>
      </c>
      <c r="P48" s="75" t="s">
        <v>186</v>
      </c>
      <c r="Q48" s="76">
        <v>2011</v>
      </c>
      <c r="R48" s="75" t="s">
        <v>115</v>
      </c>
      <c r="S48" s="79" t="s">
        <v>65</v>
      </c>
      <c r="T48" s="75" t="s">
        <v>135</v>
      </c>
      <c r="U48" s="76">
        <v>2010</v>
      </c>
      <c r="V48" s="75" t="s">
        <v>79</v>
      </c>
      <c r="W48" s="75" t="s">
        <v>1</v>
      </c>
      <c r="X48" s="75" t="s">
        <v>146</v>
      </c>
      <c r="Y48" s="76">
        <v>2009</v>
      </c>
      <c r="Z48" s="75" t="s">
        <v>81</v>
      </c>
      <c r="AA48" s="75">
        <v>2009</v>
      </c>
      <c r="AB48" s="75" t="s">
        <v>82</v>
      </c>
      <c r="AC48" s="75" t="s">
        <v>74</v>
      </c>
      <c r="AD48" s="75" t="s">
        <v>187</v>
      </c>
      <c r="AE48" s="76">
        <v>2008</v>
      </c>
      <c r="AF48" s="75" t="s">
        <v>84</v>
      </c>
      <c r="AG48" s="75">
        <v>2008</v>
      </c>
      <c r="AH48" s="75" t="s">
        <v>85</v>
      </c>
    </row>
    <row r="49" spans="1:34" ht="15.75" customHeight="1">
      <c r="A49" s="179" t="s">
        <v>23</v>
      </c>
      <c r="B49" s="180"/>
      <c r="C49" s="11">
        <f t="shared" ref="C49:D51" si="10">K49</f>
        <v>44035</v>
      </c>
      <c r="D49" s="11">
        <f t="shared" si="10"/>
        <v>0</v>
      </c>
      <c r="E49" s="12">
        <f>(D49/C49)</f>
        <v>0</v>
      </c>
      <c r="F49" s="11">
        <f>+G49-D49</f>
        <v>44035</v>
      </c>
      <c r="G49" s="23">
        <f>C49*1</f>
        <v>44035</v>
      </c>
      <c r="H49" s="24">
        <f>C49-D49</f>
        <v>44035</v>
      </c>
      <c r="I49" s="1">
        <v>1</v>
      </c>
      <c r="J49" s="65" t="str">
        <f>A49</f>
        <v>Conservation</v>
      </c>
      <c r="K49" s="129">
        <v>44035</v>
      </c>
      <c r="L49" s="129">
        <v>0</v>
      </c>
      <c r="M49" s="131">
        <f>L49/K49</f>
        <v>0</v>
      </c>
      <c r="N49" s="13">
        <f>K49-L49</f>
        <v>44035</v>
      </c>
      <c r="O49" s="129">
        <v>44035</v>
      </c>
      <c r="P49" s="129">
        <v>16941</v>
      </c>
      <c r="Q49" s="131">
        <f>P49/O49</f>
        <v>0.38471670262291358</v>
      </c>
      <c r="R49" s="13">
        <f>O49-P49</f>
        <v>27094</v>
      </c>
      <c r="S49" s="13">
        <v>44035</v>
      </c>
      <c r="T49" s="13">
        <v>8747.1</v>
      </c>
      <c r="U49" s="80">
        <f>(T49/S49)</f>
        <v>0.19863971840581357</v>
      </c>
      <c r="V49" s="13">
        <f>S49-T49</f>
        <v>35287.9</v>
      </c>
      <c r="W49" s="13">
        <f>'FY 2009 Exp 01-06-10'!C2</f>
        <v>44035</v>
      </c>
      <c r="X49" s="13">
        <v>43350.66</v>
      </c>
      <c r="Y49" s="80">
        <f>X49/W49</f>
        <v>0.98445918019757017</v>
      </c>
      <c r="Z49" s="13">
        <f>'FY 2009 Exp 01-06-10'!D2</f>
        <v>217718</v>
      </c>
      <c r="AA49" s="80">
        <f>X49/Z49</f>
        <v>0.19911380776968374</v>
      </c>
      <c r="AB49" s="13">
        <f>W49-X49</f>
        <v>684.33999999999651</v>
      </c>
      <c r="AC49" s="13">
        <f>'FY 2008 Exp 01-06-10'!C2</f>
        <v>44035</v>
      </c>
      <c r="AD49" s="13">
        <v>243785.86000000002</v>
      </c>
      <c r="AE49" s="80">
        <f>AD49/AC49</f>
        <v>5.5361839445895313</v>
      </c>
      <c r="AF49" s="13">
        <f>'FY 2008 Exp 01-06-10'!D2</f>
        <v>401290</v>
      </c>
      <c r="AG49" s="80">
        <f>AD49/AF49</f>
        <v>0.60750544494006831</v>
      </c>
      <c r="AH49" s="13">
        <f>AC49-AD49</f>
        <v>-199750.86000000002</v>
      </c>
    </row>
    <row r="50" spans="1:34" ht="15.75" customHeight="1">
      <c r="A50" s="179" t="s">
        <v>102</v>
      </c>
      <c r="B50" s="180"/>
      <c r="C50" s="22">
        <f t="shared" si="10"/>
        <v>19844693</v>
      </c>
      <c r="D50" s="22">
        <f t="shared" si="10"/>
        <v>16411920</v>
      </c>
      <c r="E50" s="12">
        <f>(D50/C50)</f>
        <v>0.82701808488546535</v>
      </c>
      <c r="F50" s="22">
        <f>+G50-D50</f>
        <v>3432773</v>
      </c>
      <c r="G50" s="23">
        <f>C50*1</f>
        <v>19844693</v>
      </c>
      <c r="H50" s="25">
        <f>C50-D50</f>
        <v>3432773</v>
      </c>
      <c r="I50" s="1">
        <v>1</v>
      </c>
      <c r="J50" s="65" t="str">
        <f>A50</f>
        <v>Public Transport</v>
      </c>
      <c r="K50" s="129">
        <v>19844693</v>
      </c>
      <c r="L50" s="129">
        <v>16411920</v>
      </c>
      <c r="M50" s="131">
        <f>L50/K50</f>
        <v>0.82701808488546535</v>
      </c>
      <c r="N50" s="81">
        <f>K50-L50</f>
        <v>3432773</v>
      </c>
      <c r="O50" s="129">
        <v>19188923</v>
      </c>
      <c r="P50" s="129">
        <v>16576637</v>
      </c>
      <c r="Q50" s="131">
        <f>P50/O50</f>
        <v>0.86386489747235939</v>
      </c>
      <c r="R50" s="81">
        <f>O50-P50</f>
        <v>2612286</v>
      </c>
      <c r="S50" s="81">
        <v>19347332</v>
      </c>
      <c r="T50" s="81">
        <v>16476256</v>
      </c>
      <c r="U50" s="80">
        <f>(T50/S50)</f>
        <v>0.85160351825254255</v>
      </c>
      <c r="V50" s="81">
        <f>S50-T50</f>
        <v>2871076</v>
      </c>
      <c r="W50" s="81">
        <f>'FY 2009 Exp 01-06-10'!C4</f>
        <v>19861346</v>
      </c>
      <c r="X50" s="81">
        <v>15350827.599999998</v>
      </c>
      <c r="Y50" s="80">
        <f>X50/W50</f>
        <v>0.77289966148316425</v>
      </c>
      <c r="Z50" s="81">
        <f>'FY 2009 Exp 01-06-10'!D4</f>
        <v>23302893</v>
      </c>
      <c r="AA50" s="80">
        <f>X50/Z50</f>
        <v>0.65875200988993077</v>
      </c>
      <c r="AB50" s="13">
        <f>W50-X50</f>
        <v>4510518.4000000022</v>
      </c>
      <c r="AC50" s="81">
        <f>'FY 2008 Exp 01-06-10'!C4</f>
        <v>17022879</v>
      </c>
      <c r="AD50" s="81">
        <v>15614231.35</v>
      </c>
      <c r="AE50" s="80">
        <f>AD50/AC50</f>
        <v>0.91724974077534116</v>
      </c>
      <c r="AF50" s="81">
        <f>'FY 2008 Exp 01-06-10'!C4</f>
        <v>17022879</v>
      </c>
      <c r="AG50" s="80">
        <f>AD50/AF50</f>
        <v>0.91724974077534116</v>
      </c>
      <c r="AH50" s="13">
        <f>AC50-AD50</f>
        <v>1408647.6500000004</v>
      </c>
    </row>
    <row r="51" spans="1:34" ht="15.75" customHeight="1" thickBot="1">
      <c r="A51" s="179" t="s">
        <v>24</v>
      </c>
      <c r="B51" s="180"/>
      <c r="C51" s="22">
        <f t="shared" si="10"/>
        <v>0</v>
      </c>
      <c r="D51" s="22">
        <f t="shared" si="10"/>
        <v>0</v>
      </c>
      <c r="E51" s="12">
        <v>0</v>
      </c>
      <c r="F51" s="22">
        <f>+G51-D51</f>
        <v>0</v>
      </c>
      <c r="G51" s="23">
        <f>C51*1</f>
        <v>0</v>
      </c>
      <c r="H51" s="25">
        <f>C51-D51</f>
        <v>0</v>
      </c>
      <c r="I51" s="1">
        <v>1</v>
      </c>
      <c r="J51" s="65" t="str">
        <f>A51</f>
        <v>Transfers</v>
      </c>
      <c r="K51" s="130">
        <v>0</v>
      </c>
      <c r="L51" s="130">
        <v>0</v>
      </c>
      <c r="M51" s="133" t="e">
        <f>L51/K51</f>
        <v>#DIV/0!</v>
      </c>
      <c r="N51" s="83">
        <f>K51-L51</f>
        <v>0</v>
      </c>
      <c r="O51" s="130">
        <v>0</v>
      </c>
      <c r="P51" s="130">
        <v>0</v>
      </c>
      <c r="Q51" s="133" t="e">
        <f>P51/O51</f>
        <v>#DIV/0!</v>
      </c>
      <c r="R51" s="83">
        <f>O51-P51</f>
        <v>0</v>
      </c>
      <c r="S51" s="83">
        <v>0</v>
      </c>
      <c r="T51" s="83">
        <v>0</v>
      </c>
      <c r="U51" s="77" t="e">
        <f>(T51/S51)</f>
        <v>#DIV/0!</v>
      </c>
      <c r="V51" s="83">
        <f>S51-T51</f>
        <v>0</v>
      </c>
      <c r="W51" s="83">
        <f>'FY 2009 Exp 01-06-10'!C5</f>
        <v>0</v>
      </c>
      <c r="X51" s="83">
        <v>433900</v>
      </c>
      <c r="Y51" s="77" t="e">
        <f>X51/W51</f>
        <v>#DIV/0!</v>
      </c>
      <c r="Z51" s="83">
        <f>'FY 2009 Exp 01-06-10'!D5</f>
        <v>433900</v>
      </c>
      <c r="AA51" s="77">
        <f>X51/Z51</f>
        <v>1</v>
      </c>
      <c r="AB51" s="84">
        <f>W51-X51</f>
        <v>-433900</v>
      </c>
      <c r="AC51" s="83">
        <f>'FY 2008 Exp 01-06-10'!C5</f>
        <v>0</v>
      </c>
      <c r="AD51" s="83">
        <v>0</v>
      </c>
      <c r="AE51" s="77" t="e">
        <f>AD51/AC51</f>
        <v>#DIV/0!</v>
      </c>
      <c r="AF51" s="83">
        <f>'FY 2008 Exp 01-06-10'!C5</f>
        <v>0</v>
      </c>
      <c r="AG51" s="77" t="e">
        <f>AD51/AF51</f>
        <v>#DIV/0!</v>
      </c>
      <c r="AH51" s="84">
        <f>AC51-AD51</f>
        <v>0</v>
      </c>
    </row>
    <row r="52" spans="1:34" ht="15.75" customHeight="1" thickBot="1">
      <c r="A52" s="181" t="s">
        <v>22</v>
      </c>
      <c r="B52" s="182"/>
      <c r="C52" s="20">
        <f>SUM(C49:C51)</f>
        <v>19888728</v>
      </c>
      <c r="D52" s="20">
        <f>SUM(D49:D51)</f>
        <v>16411920</v>
      </c>
      <c r="E52" s="12">
        <f>(D52/C52)</f>
        <v>0.82518701045134712</v>
      </c>
      <c r="F52" s="29">
        <f>+G52-D52</f>
        <v>3476808</v>
      </c>
      <c r="G52" s="23">
        <f>C52*1</f>
        <v>19888728</v>
      </c>
      <c r="J52" s="50"/>
      <c r="K52" s="82">
        <f>SUM(K49:K51)</f>
        <v>19888728</v>
      </c>
      <c r="L52" s="82">
        <f>SUM(L49:L51)</f>
        <v>16411920</v>
      </c>
      <c r="M52" s="132">
        <f>L52/K52</f>
        <v>0.82518701045134712</v>
      </c>
      <c r="N52" s="82">
        <f>SUM(N49:N51)</f>
        <v>3476808</v>
      </c>
      <c r="O52" s="82">
        <f>SUM(O49:O51)</f>
        <v>19232958</v>
      </c>
      <c r="P52" s="82">
        <f>SUM(P49:P51)</f>
        <v>16593578</v>
      </c>
      <c r="Q52" s="132">
        <f>P52/O52</f>
        <v>0.86276785921333576</v>
      </c>
      <c r="R52" s="82">
        <f>SUM(R49:R51)</f>
        <v>2639380</v>
      </c>
      <c r="S52" s="82">
        <f>SUM(S49:S51)</f>
        <v>19391367</v>
      </c>
      <c r="T52" s="82">
        <f>SUM(T49:T51)</f>
        <v>16485003.1</v>
      </c>
      <c r="U52" s="78">
        <f>(T52/S52)</f>
        <v>0.85012073156059598</v>
      </c>
      <c r="V52" s="82">
        <f>SUM(V49:V51)</f>
        <v>2906363.9</v>
      </c>
      <c r="W52" s="82">
        <f>SUM(W49:W51)</f>
        <v>19905381</v>
      </c>
      <c r="X52" s="82">
        <f>SUM(X49:X51)</f>
        <v>15828078.259999998</v>
      </c>
      <c r="Y52" s="78">
        <f>X52/W52</f>
        <v>0.79516580265406611</v>
      </c>
      <c r="Z52" s="82">
        <f>SUM(Z49:Z51)</f>
        <v>23954511</v>
      </c>
      <c r="AA52" s="78">
        <f>X52/Z52</f>
        <v>0.66075564055555125</v>
      </c>
      <c r="AB52" s="82">
        <f>SUM(AB49:AB51)</f>
        <v>4077302.7400000021</v>
      </c>
      <c r="AC52" s="82">
        <f>SUM(AC49:AC51)</f>
        <v>17066914</v>
      </c>
      <c r="AD52" s="82">
        <f>SUM(AD49:AD51)</f>
        <v>15858017.209999999</v>
      </c>
      <c r="AE52" s="78">
        <f>AD52/AC52</f>
        <v>0.92916723023271808</v>
      </c>
      <c r="AF52" s="82">
        <f>SUM(AF49:AF51)</f>
        <v>17424169</v>
      </c>
      <c r="AG52" s="78">
        <f>AD52/AF52</f>
        <v>0.91011612720239332</v>
      </c>
      <c r="AH52" s="82">
        <f>SUM(AH49:AH51)</f>
        <v>1208896.7900000003</v>
      </c>
    </row>
    <row r="53" spans="1:34" ht="15.75" customHeight="1" thickTop="1">
      <c r="A53" s="134"/>
      <c r="B53" s="134"/>
      <c r="C53" s="135"/>
      <c r="D53" s="135"/>
      <c r="E53" s="136"/>
      <c r="F53" s="23"/>
      <c r="G53" s="14"/>
      <c r="J53" s="50"/>
      <c r="K53" s="137"/>
      <c r="L53" s="137"/>
      <c r="M53" s="138"/>
      <c r="N53" s="24"/>
      <c r="O53" s="24"/>
      <c r="P53" s="24"/>
      <c r="Q53" s="136"/>
      <c r="R53" s="24"/>
      <c r="S53" s="24"/>
      <c r="T53" s="24"/>
      <c r="U53" s="136"/>
      <c r="V53" s="24"/>
      <c r="W53" s="136"/>
      <c r="X53" s="24"/>
      <c r="Y53" s="24"/>
      <c r="Z53" s="24"/>
      <c r="AA53" s="136"/>
      <c r="AB53" s="24"/>
      <c r="AC53" s="136"/>
      <c r="AD53" s="24"/>
    </row>
  </sheetData>
  <mergeCells count="17">
    <mergeCell ref="A46:F46"/>
    <mergeCell ref="B3:D3"/>
    <mergeCell ref="A13:F13"/>
    <mergeCell ref="A14:F14"/>
    <mergeCell ref="A16:B16"/>
    <mergeCell ref="A17:B17"/>
    <mergeCell ref="A18:B18"/>
    <mergeCell ref="A19:B19"/>
    <mergeCell ref="A20:B20"/>
    <mergeCell ref="A21:B21"/>
    <mergeCell ref="A22:B22"/>
    <mergeCell ref="A23:B23"/>
    <mergeCell ref="A48:B48"/>
    <mergeCell ref="A49:B49"/>
    <mergeCell ref="A50:B50"/>
    <mergeCell ref="A51:B51"/>
    <mergeCell ref="A52:B52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3"/>
  <sheetViews>
    <sheetView topLeftCell="D18" zoomScale="90" zoomScaleNormal="90" workbookViewId="0">
      <selection activeCell="J58" sqref="J58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9.12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2.5" style="2" bestFit="1" customWidth="1"/>
    <col min="12" max="12" width="11.875" style="2" bestFit="1" customWidth="1"/>
    <col min="13" max="14" width="11.5" style="2" customWidth="1"/>
    <col min="15" max="15" width="11.125" style="2" bestFit="1" customWidth="1"/>
    <col min="16" max="16" width="13.25" style="2" bestFit="1" customWidth="1"/>
    <col min="17" max="17" width="12.75" style="2" customWidth="1"/>
    <col min="18" max="18" width="12.5" style="2" bestFit="1" customWidth="1"/>
    <col min="19" max="19" width="11.25" style="2" customWidth="1"/>
    <col min="20" max="20" width="12.5" style="2" bestFit="1" customWidth="1"/>
    <col min="21" max="21" width="11.125" style="2" bestFit="1" customWidth="1"/>
    <col min="22" max="22" width="15.875" style="2" customWidth="1"/>
    <col min="23" max="23" width="10.75" style="2" customWidth="1"/>
    <col min="24" max="24" width="13.625" style="2" customWidth="1"/>
    <col min="25" max="25" width="11.875" style="2" customWidth="1"/>
    <col min="26" max="26" width="12.5" style="2" bestFit="1" customWidth="1"/>
    <col min="27" max="27" width="11.5" style="2" customWidth="1"/>
    <col min="28" max="28" width="11" style="2" customWidth="1"/>
    <col min="29" max="29" width="9" style="2"/>
    <col min="30" max="30" width="14" style="2" customWidth="1"/>
    <col min="31" max="16384" width="9" style="2"/>
  </cols>
  <sheetData>
    <row r="1" spans="1:29" ht="15.95" customHeight="1">
      <c r="E1" s="3"/>
      <c r="F1" s="3" t="s">
        <v>17</v>
      </c>
    </row>
    <row r="2" spans="1:29" ht="15.95" customHeight="1">
      <c r="E2" s="3"/>
      <c r="F2" s="3" t="s">
        <v>36</v>
      </c>
    </row>
    <row r="3" spans="1:29" ht="15.95" customHeight="1">
      <c r="B3" s="175" t="s">
        <v>30</v>
      </c>
      <c r="C3" s="175"/>
      <c r="D3" s="175"/>
      <c r="E3" s="3"/>
      <c r="F3" s="3" t="s">
        <v>37</v>
      </c>
    </row>
    <row r="4" spans="1:29" ht="15.95" customHeight="1">
      <c r="E4" s="3"/>
      <c r="F4" s="3" t="s">
        <v>38</v>
      </c>
    </row>
    <row r="5" spans="1:29" ht="15.95" customHeight="1">
      <c r="E5" s="3"/>
      <c r="F5" s="3" t="s">
        <v>18</v>
      </c>
    </row>
    <row r="6" spans="1:29" ht="15.75">
      <c r="A6" s="4"/>
      <c r="B6" s="4"/>
      <c r="C6" s="4"/>
      <c r="D6" s="5"/>
      <c r="E6" s="5"/>
      <c r="F6" s="4"/>
    </row>
    <row r="7" spans="1:29" ht="15.75">
      <c r="D7" s="3"/>
      <c r="E7" s="3"/>
    </row>
    <row r="8" spans="1:29" ht="19.5" customHeight="1">
      <c r="A8" s="6" t="s">
        <v>25</v>
      </c>
      <c r="B8" s="7" t="s">
        <v>26</v>
      </c>
    </row>
    <row r="9" spans="1:29" ht="19.5" customHeight="1">
      <c r="A9" s="6" t="s">
        <v>27</v>
      </c>
      <c r="B9" s="7" t="s">
        <v>64</v>
      </c>
    </row>
    <row r="10" spans="1:29" ht="19.5" customHeight="1">
      <c r="A10" s="6" t="s">
        <v>28</v>
      </c>
      <c r="B10" s="8">
        <v>41105</v>
      </c>
    </row>
    <row r="11" spans="1:29" ht="19.5" customHeight="1">
      <c r="A11" s="6" t="s">
        <v>29</v>
      </c>
      <c r="B11" s="7" t="s">
        <v>170</v>
      </c>
    </row>
    <row r="12" spans="1:29" ht="19.5" customHeight="1">
      <c r="A12" s="6"/>
      <c r="B12" s="7"/>
    </row>
    <row r="13" spans="1:29" ht="24.75" customHeight="1">
      <c r="A13" s="184"/>
      <c r="B13" s="184"/>
      <c r="C13" s="184"/>
      <c r="D13" s="184"/>
      <c r="E13" s="184"/>
      <c r="F13" s="184"/>
    </row>
    <row r="14" spans="1:29" ht="31.5" customHeight="1">
      <c r="A14" s="183" t="s">
        <v>87</v>
      </c>
      <c r="B14" s="183"/>
      <c r="C14" s="183"/>
      <c r="D14" s="183"/>
      <c r="E14" s="183"/>
      <c r="F14" s="183"/>
    </row>
    <row r="15" spans="1:29">
      <c r="K15" s="64"/>
      <c r="L15" s="64"/>
      <c r="M15" s="64"/>
      <c r="N15" s="64"/>
    </row>
    <row r="16" spans="1:29" ht="38.25">
      <c r="A16" s="185"/>
      <c r="B16" s="185"/>
      <c r="C16" s="9" t="s">
        <v>154</v>
      </c>
      <c r="D16" s="9" t="s">
        <v>171</v>
      </c>
      <c r="E16" s="9" t="s">
        <v>19</v>
      </c>
      <c r="F16" s="9" t="s">
        <v>97</v>
      </c>
      <c r="G16" s="10">
        <v>0.75</v>
      </c>
      <c r="H16" s="2" t="s">
        <v>31</v>
      </c>
      <c r="I16" s="10">
        <v>0.75</v>
      </c>
      <c r="K16" s="9" t="s">
        <v>152</v>
      </c>
      <c r="L16" s="9" t="s">
        <v>173</v>
      </c>
      <c r="M16" s="9">
        <v>2012</v>
      </c>
      <c r="N16" s="9" t="s">
        <v>110</v>
      </c>
      <c r="O16" s="9" t="s">
        <v>178</v>
      </c>
      <c r="P16" s="9" t="s">
        <v>150</v>
      </c>
      <c r="Q16" s="9">
        <v>2011</v>
      </c>
      <c r="R16" s="9" t="s">
        <v>65</v>
      </c>
      <c r="S16" s="9" t="s">
        <v>132</v>
      </c>
      <c r="T16" s="9" t="s">
        <v>149</v>
      </c>
      <c r="U16" s="9">
        <v>2010</v>
      </c>
      <c r="V16" s="9" t="s">
        <v>1</v>
      </c>
      <c r="W16" s="9" t="s">
        <v>174</v>
      </c>
      <c r="X16" s="9" t="s">
        <v>76</v>
      </c>
      <c r="Y16" s="9">
        <v>2009</v>
      </c>
      <c r="Z16" s="9" t="s">
        <v>74</v>
      </c>
      <c r="AA16" s="9" t="s">
        <v>134</v>
      </c>
      <c r="AB16" s="9" t="s">
        <v>77</v>
      </c>
      <c r="AC16" s="9">
        <v>2008</v>
      </c>
    </row>
    <row r="17" spans="1:29" ht="15.75" customHeight="1">
      <c r="A17" s="186" t="s">
        <v>20</v>
      </c>
      <c r="B17" s="186"/>
      <c r="C17" s="11">
        <f t="shared" ref="C17:D22" si="0">K17</f>
        <v>2160925</v>
      </c>
      <c r="D17" s="11">
        <f t="shared" si="0"/>
        <v>2175221</v>
      </c>
      <c r="E17" s="12">
        <f t="shared" ref="E17:E23" si="1">(D17/C17)</f>
        <v>1.006615685412497</v>
      </c>
      <c r="F17" s="29">
        <f t="shared" ref="F17:F22" si="2">D17-G17</f>
        <v>554527.25</v>
      </c>
      <c r="G17" s="14">
        <f>C17*0.75</f>
        <v>1620693.75</v>
      </c>
      <c r="H17" s="15">
        <v>0</v>
      </c>
      <c r="I17" s="10">
        <v>0.75</v>
      </c>
      <c r="J17" s="21" t="str">
        <f t="shared" ref="J17:J22" si="3">A17</f>
        <v>Current / Delinquent Taxes</v>
      </c>
      <c r="K17" s="129">
        <v>2160925</v>
      </c>
      <c r="L17" s="129">
        <v>2175221</v>
      </c>
      <c r="M17" s="141">
        <f>L17/K17</f>
        <v>1.006615685412497</v>
      </c>
      <c r="N17" s="129">
        <v>0</v>
      </c>
      <c r="O17" s="129">
        <v>0</v>
      </c>
      <c r="P17" s="11">
        <v>0</v>
      </c>
      <c r="Q17" s="140" t="e">
        <f>O17/P17</f>
        <v>#DIV/0!</v>
      </c>
      <c r="R17" s="11">
        <v>4337995</v>
      </c>
      <c r="S17" s="11">
        <v>4303975.5599999996</v>
      </c>
      <c r="T17" s="11">
        <v>4339903</v>
      </c>
      <c r="U17" s="12">
        <f>S17/T17</f>
        <v>0.99172160299435252</v>
      </c>
      <c r="V17" s="11">
        <f>'FY 2009 Rev 01-15-10'!E3</f>
        <v>4070011</v>
      </c>
      <c r="W17" s="11">
        <v>4047124.9000000004</v>
      </c>
      <c r="X17" s="11">
        <f>'FY 2009 Rev 01-15-10'!D3</f>
        <v>4095648.34</v>
      </c>
      <c r="Y17" s="12">
        <f t="shared" ref="Y17:Y23" si="4">W17/X17</f>
        <v>0.98815243986499113</v>
      </c>
      <c r="Z17" s="11">
        <f>'FY 2008 Rev 01-15-10'!E3</f>
        <v>762480</v>
      </c>
      <c r="AA17" s="11">
        <f>SUM('FY 2008 Rev 01-15-10'!F3:N3)</f>
        <v>777232.04999999993</v>
      </c>
      <c r="AB17" s="11">
        <f>'FY 2008 Rev 01-15-10'!D3</f>
        <v>788839.59</v>
      </c>
      <c r="AC17" s="12">
        <f t="shared" ref="AC17:AC23" si="5">AA17/AB17</f>
        <v>0.98528529735684278</v>
      </c>
    </row>
    <row r="18" spans="1:29" ht="15.75" customHeight="1">
      <c r="A18" s="186" t="s">
        <v>66</v>
      </c>
      <c r="B18" s="186"/>
      <c r="C18" s="22">
        <f t="shared" si="0"/>
        <v>1300</v>
      </c>
      <c r="D18" s="22">
        <f t="shared" si="0"/>
        <v>954</v>
      </c>
      <c r="E18" s="12">
        <f t="shared" si="1"/>
        <v>0.73384615384615381</v>
      </c>
      <c r="F18" s="22">
        <f>D18-G18</f>
        <v>-21</v>
      </c>
      <c r="G18" s="14">
        <f t="shared" ref="G18:G23" si="6">C18*0.75</f>
        <v>975</v>
      </c>
      <c r="H18" s="15">
        <f>C18-D18</f>
        <v>346</v>
      </c>
      <c r="I18" s="10">
        <v>0.75</v>
      </c>
      <c r="J18" s="21" t="str">
        <f t="shared" si="3"/>
        <v>License / Permits</v>
      </c>
      <c r="K18" s="129">
        <v>1300</v>
      </c>
      <c r="L18" s="129">
        <v>954</v>
      </c>
      <c r="M18" s="141">
        <f t="shared" ref="M18:M23" si="7">L18/K18</f>
        <v>0.73384615384615381</v>
      </c>
      <c r="N18" s="129">
        <v>2000</v>
      </c>
      <c r="O18" s="129">
        <v>1134</v>
      </c>
      <c r="P18" s="28">
        <v>1431</v>
      </c>
      <c r="Q18" s="141">
        <f t="shared" ref="Q18:Q23" si="8">O18/P18</f>
        <v>0.79245283018867929</v>
      </c>
      <c r="R18" s="16">
        <v>1854</v>
      </c>
      <c r="S18" s="28">
        <v>1188</v>
      </c>
      <c r="T18" s="28">
        <v>1656</v>
      </c>
      <c r="U18" s="12">
        <f t="shared" ref="U18:U23" si="9">S18/T18</f>
        <v>0.71739130434782605</v>
      </c>
      <c r="V18" s="28">
        <f>'FY 2009 Rev 01-15-10'!E5</f>
        <v>3000</v>
      </c>
      <c r="W18" s="28">
        <v>1188</v>
      </c>
      <c r="X18" s="28">
        <f>'FY 2009 Rev 01-15-10'!D5</f>
        <v>1476</v>
      </c>
      <c r="Y18" s="12">
        <f t="shared" si="4"/>
        <v>0.80487804878048785</v>
      </c>
      <c r="Z18" s="28">
        <f>'FY 2008 Rev 01-15-10'!E5</f>
        <v>7500</v>
      </c>
      <c r="AA18" s="28">
        <f>SUM('FY 2008 Rev 01-15-10'!F5:N5)</f>
        <v>2034</v>
      </c>
      <c r="AB18" s="28">
        <f>'FY 2008 Rev 01-15-10'!D5</f>
        <v>3209</v>
      </c>
      <c r="AC18" s="12">
        <f t="shared" si="5"/>
        <v>0.63384231847927708</v>
      </c>
    </row>
    <row r="19" spans="1:29" ht="24.75" customHeight="1">
      <c r="A19" s="186" t="s">
        <v>2</v>
      </c>
      <c r="B19" s="186"/>
      <c r="C19" s="22">
        <f t="shared" si="0"/>
        <v>13214500</v>
      </c>
      <c r="D19" s="22">
        <f t="shared" si="0"/>
        <v>11792112</v>
      </c>
      <c r="E19" s="12">
        <f t="shared" si="1"/>
        <v>0.89236157251504034</v>
      </c>
      <c r="F19" s="22">
        <f t="shared" si="2"/>
        <v>1881237</v>
      </c>
      <c r="G19" s="14">
        <f t="shared" si="6"/>
        <v>9910875</v>
      </c>
      <c r="H19" s="27">
        <f>C19-D19</f>
        <v>1422388</v>
      </c>
      <c r="I19" s="10">
        <v>0.75</v>
      </c>
      <c r="J19" s="21" t="str">
        <f t="shared" si="3"/>
        <v>Fees/Charges for Services</v>
      </c>
      <c r="K19" s="129">
        <v>13214500</v>
      </c>
      <c r="L19" s="129">
        <f>68046+11724066</f>
        <v>11792112</v>
      </c>
      <c r="M19" s="141">
        <f t="shared" si="7"/>
        <v>0.89236157251504034</v>
      </c>
      <c r="N19" s="129">
        <v>13169000</v>
      </c>
      <c r="O19" s="129">
        <v>10932395</v>
      </c>
      <c r="P19" s="28">
        <v>13131612</v>
      </c>
      <c r="Q19" s="141">
        <f t="shared" si="8"/>
        <v>0.83252497865456276</v>
      </c>
      <c r="R19" s="16">
        <v>12094490</v>
      </c>
      <c r="S19" s="28">
        <v>10150131.33</v>
      </c>
      <c r="T19" s="28">
        <v>12252721</v>
      </c>
      <c r="U19" s="12">
        <f t="shared" si="9"/>
        <v>0.82839814356337671</v>
      </c>
      <c r="V19" s="28">
        <f>'FY 2009 Rev 01-15-10'!E10</f>
        <v>11806400</v>
      </c>
      <c r="W19" s="28">
        <v>8940053.8600000013</v>
      </c>
      <c r="X19" s="28">
        <f>'FY 2009 Rev 01-15-10'!D10</f>
        <v>13237833.390000001</v>
      </c>
      <c r="Y19" s="12">
        <f t="shared" si="4"/>
        <v>0.67534116774376485</v>
      </c>
      <c r="Z19" s="28">
        <f>'FY 2008 Rev 01-15-10'!E10</f>
        <v>11740700</v>
      </c>
      <c r="AA19" s="28">
        <f>SUM('FY 2008 Rev 01-15-10'!F10:N10)</f>
        <v>11570250.370000001</v>
      </c>
      <c r="AB19" s="28">
        <f>'FY 2008 Rev 01-15-10'!D10</f>
        <v>13297241.34</v>
      </c>
      <c r="AC19" s="12">
        <f t="shared" si="5"/>
        <v>0.87012411628531072</v>
      </c>
    </row>
    <row r="20" spans="1:29" ht="15.75" customHeight="1">
      <c r="A20" s="186" t="s">
        <v>4</v>
      </c>
      <c r="B20" s="186"/>
      <c r="C20" s="22">
        <f t="shared" si="0"/>
        <v>1741500</v>
      </c>
      <c r="D20" s="22">
        <f t="shared" si="0"/>
        <v>1380230</v>
      </c>
      <c r="E20" s="12">
        <f t="shared" si="1"/>
        <v>0.79255239735859895</v>
      </c>
      <c r="F20" s="22">
        <f t="shared" si="2"/>
        <v>74105</v>
      </c>
      <c r="G20" s="14">
        <f t="shared" si="6"/>
        <v>1306125</v>
      </c>
      <c r="H20" s="27">
        <f>C20-D20</f>
        <v>361270</v>
      </c>
      <c r="I20" s="10">
        <v>0.75</v>
      </c>
      <c r="J20" s="21" t="str">
        <f t="shared" si="3"/>
        <v>Fines</v>
      </c>
      <c r="K20" s="129">
        <v>1741500</v>
      </c>
      <c r="L20" s="129">
        <v>1380230</v>
      </c>
      <c r="M20" s="141">
        <f t="shared" si="7"/>
        <v>0.79255239735859895</v>
      </c>
      <c r="N20" s="129">
        <v>2066000</v>
      </c>
      <c r="O20" s="129">
        <v>1251388</v>
      </c>
      <c r="P20" s="28">
        <v>1819075</v>
      </c>
      <c r="Q20" s="141">
        <f t="shared" si="8"/>
        <v>0.68792545661943572</v>
      </c>
      <c r="R20" s="16">
        <v>2295355</v>
      </c>
      <c r="S20" s="28">
        <v>1556126</v>
      </c>
      <c r="T20" s="28">
        <v>2025223</v>
      </c>
      <c r="U20" s="12">
        <f t="shared" si="9"/>
        <v>0.76837266809630345</v>
      </c>
      <c r="V20" s="28">
        <f>'FY 2009 Rev 01-15-10'!E12</f>
        <v>1904500</v>
      </c>
      <c r="W20" s="28">
        <v>1617748.17</v>
      </c>
      <c r="X20" s="28">
        <f>'FY 2009 Rev 01-15-10'!D12</f>
        <v>2213669.08</v>
      </c>
      <c r="Y20" s="12">
        <f t="shared" si="4"/>
        <v>0.73079946077577229</v>
      </c>
      <c r="Z20" s="28">
        <f>'FY 2008 Rev 01-15-10'!E12</f>
        <v>2042325</v>
      </c>
      <c r="AA20" s="28">
        <f>SUM('FY 2008 Rev 01-15-10'!F12:N12)</f>
        <v>1630940.11</v>
      </c>
      <c r="AB20" s="28">
        <f>'FY 2008 Rev 01-15-10'!D12</f>
        <v>2340429.91</v>
      </c>
      <c r="AC20" s="12">
        <f t="shared" si="5"/>
        <v>0.69685492525601844</v>
      </c>
    </row>
    <row r="21" spans="1:29" ht="15.75" customHeight="1">
      <c r="A21" s="186" t="s">
        <v>3</v>
      </c>
      <c r="B21" s="186"/>
      <c r="C21" s="22">
        <f t="shared" si="0"/>
        <v>180000</v>
      </c>
      <c r="D21" s="22">
        <f t="shared" si="0"/>
        <v>96487</v>
      </c>
      <c r="E21" s="12">
        <f t="shared" si="1"/>
        <v>0.53603888888888884</v>
      </c>
      <c r="F21" s="22">
        <f t="shared" si="2"/>
        <v>-38513</v>
      </c>
      <c r="G21" s="14">
        <f t="shared" si="6"/>
        <v>135000</v>
      </c>
      <c r="H21" s="27">
        <f>C21-D21</f>
        <v>83513</v>
      </c>
      <c r="I21" s="10">
        <v>0.75</v>
      </c>
      <c r="J21" s="21" t="str">
        <f t="shared" si="3"/>
        <v>Investment Revenue</v>
      </c>
      <c r="K21" s="129">
        <v>180000</v>
      </c>
      <c r="L21" s="129">
        <v>96487</v>
      </c>
      <c r="M21" s="141">
        <f t="shared" si="7"/>
        <v>0.53603888888888884</v>
      </c>
      <c r="N21" s="129">
        <v>120000</v>
      </c>
      <c r="O21" s="129">
        <v>145211</v>
      </c>
      <c r="P21" s="28">
        <v>194336</v>
      </c>
      <c r="Q21" s="141">
        <f t="shared" si="8"/>
        <v>0.74721616169932492</v>
      </c>
      <c r="R21" s="16">
        <v>280881</v>
      </c>
      <c r="S21" s="28">
        <v>150250.53</v>
      </c>
      <c r="T21" s="28">
        <v>222534</v>
      </c>
      <c r="U21" s="12">
        <f t="shared" si="9"/>
        <v>0.67518010730944489</v>
      </c>
      <c r="V21" s="28">
        <f>'FY 2009 Rev 01-15-10'!E14</f>
        <v>305000</v>
      </c>
      <c r="W21" s="28">
        <v>211417.35999999996</v>
      </c>
      <c r="X21" s="28">
        <f>'FY 2009 Rev 01-15-10'!D14</f>
        <v>284617.61</v>
      </c>
      <c r="Y21" s="12">
        <f t="shared" si="4"/>
        <v>0.74281194336499401</v>
      </c>
      <c r="Z21" s="28">
        <f>'FY 2008 Rev 01-15-10'!E14</f>
        <v>572500</v>
      </c>
      <c r="AA21" s="28">
        <f>SUM('FY 2008 Rev 01-15-10'!F14:N14)</f>
        <v>331805.75</v>
      </c>
      <c r="AB21" s="28">
        <f>'FY 2008 Rev 01-15-10'!D14</f>
        <v>457042.89</v>
      </c>
      <c r="AC21" s="12">
        <f t="shared" si="5"/>
        <v>0.72598383490879814</v>
      </c>
    </row>
    <row r="22" spans="1:29" ht="15.75" customHeight="1" thickBot="1">
      <c r="A22" s="186" t="s">
        <v>21</v>
      </c>
      <c r="B22" s="186"/>
      <c r="C22" s="22">
        <f t="shared" si="0"/>
        <v>15000</v>
      </c>
      <c r="D22" s="22">
        <f t="shared" si="0"/>
        <v>181688</v>
      </c>
      <c r="E22" s="12">
        <f t="shared" si="1"/>
        <v>12.112533333333333</v>
      </c>
      <c r="F22" s="22">
        <f t="shared" si="2"/>
        <v>170438</v>
      </c>
      <c r="G22" s="14">
        <f t="shared" si="6"/>
        <v>11250</v>
      </c>
      <c r="H22" s="27">
        <v>0</v>
      </c>
      <c r="I22" s="10">
        <v>0.75</v>
      </c>
      <c r="J22" s="21" t="str">
        <f t="shared" si="3"/>
        <v>Miscellaneous</v>
      </c>
      <c r="K22" s="130">
        <v>15000</v>
      </c>
      <c r="L22" s="130">
        <f>6637+204922-29871</f>
        <v>181688</v>
      </c>
      <c r="M22" s="142">
        <f t="shared" si="7"/>
        <v>12.112533333333333</v>
      </c>
      <c r="N22" s="130">
        <f>15000+10000</f>
        <v>25000</v>
      </c>
      <c r="O22" s="130">
        <v>6390</v>
      </c>
      <c r="P22" s="53">
        <f>49000+9304</f>
        <v>58304</v>
      </c>
      <c r="Q22" s="142">
        <f t="shared" si="8"/>
        <v>0.10959796926454446</v>
      </c>
      <c r="R22" s="52">
        <v>25400</v>
      </c>
      <c r="S22" s="53">
        <v>53786.52</v>
      </c>
      <c r="T22" s="53">
        <f>11655+53850</f>
        <v>65505</v>
      </c>
      <c r="U22" s="77">
        <f t="shared" si="9"/>
        <v>0.82110556446072813</v>
      </c>
      <c r="V22" s="53">
        <f>'FY 2009 Rev 01-15-10'!E16+'FY 2009 Rev 01-15-10'!E18+'FY 2009 Rev 01-15-10'!E20</f>
        <v>117000</v>
      </c>
      <c r="W22" s="53">
        <v>33738.479999999996</v>
      </c>
      <c r="X22" s="53">
        <f>'FY 2009 Rev 01-15-10'!D16+'FY 2009 Rev 01-15-10'!D18+'FY 2009 Rev 01-15-10'!D20</f>
        <v>65838.240000000005</v>
      </c>
      <c r="Y22" s="77">
        <f t="shared" si="4"/>
        <v>0.51244504713370209</v>
      </c>
      <c r="Z22" s="53">
        <f>'FY 2008 Rev 01-15-10'!E16+'FY 2008 Rev 01-15-10'!E18+'FY 2008 Rev 01-15-10'!E20</f>
        <v>90000</v>
      </c>
      <c r="AA22" s="53">
        <f>SUM('FY 2008 Rev 01-15-10'!F16:N16,'FY 2008 Rev 01-15-10'!F18:N18,'FY 2008 Rev 01-15-10'!F20:N20)</f>
        <v>321027.88999999996</v>
      </c>
      <c r="AB22" s="53">
        <f>'FY 2008 Rev 01-15-10'!D16+'FY 2008 Rev 01-15-10'!D18+'FY 2008 Rev 01-15-10'!D20</f>
        <v>363410.55000000005</v>
      </c>
      <c r="AC22" s="77">
        <f t="shared" si="5"/>
        <v>0.88337526249581888</v>
      </c>
    </row>
    <row r="23" spans="1:29" ht="15.75" customHeight="1" thickBot="1">
      <c r="A23" s="187" t="s">
        <v>22</v>
      </c>
      <c r="B23" s="187"/>
      <c r="C23" s="11">
        <f>SUM(C17:C22)</f>
        <v>17313225</v>
      </c>
      <c r="D23" s="11">
        <f>SUM(D17:D22)</f>
        <v>15626692</v>
      </c>
      <c r="E23" s="12">
        <f t="shared" si="1"/>
        <v>0.90258701079665982</v>
      </c>
      <c r="F23" s="17">
        <f>SUM(F17:F22)</f>
        <v>2641773.25</v>
      </c>
      <c r="G23" s="14">
        <f t="shared" si="6"/>
        <v>12984918.75</v>
      </c>
      <c r="H23" s="27"/>
      <c r="J23" s="21"/>
      <c r="K23" s="128">
        <f>SUM(K17:K22)</f>
        <v>17313225</v>
      </c>
      <c r="L23" s="51">
        <f>SUM(L17:L22)</f>
        <v>15626692</v>
      </c>
      <c r="M23" s="143">
        <f t="shared" si="7"/>
        <v>0.90258701079665982</v>
      </c>
      <c r="N23" s="128">
        <f>SUM(N17:N22)</f>
        <v>15382000</v>
      </c>
      <c r="O23" s="51">
        <f>SUM(O17:O22)</f>
        <v>12336518</v>
      </c>
      <c r="P23" s="51">
        <f>SUM(P17:P22)</f>
        <v>15204758</v>
      </c>
      <c r="Q23" s="143">
        <f t="shared" si="8"/>
        <v>0.81135904958171645</v>
      </c>
      <c r="R23" s="51">
        <f>SUM(R17:R22)</f>
        <v>19035975</v>
      </c>
      <c r="S23" s="51">
        <f>SUM(S17:S22)</f>
        <v>16215457.939999999</v>
      </c>
      <c r="T23" s="51">
        <f>SUM(T17:T22)</f>
        <v>18907542</v>
      </c>
      <c r="U23" s="78">
        <f t="shared" si="9"/>
        <v>0.85761850694289077</v>
      </c>
      <c r="V23" s="51">
        <f>SUM(V17:V22)</f>
        <v>18205911</v>
      </c>
      <c r="W23" s="51">
        <f>SUM(W17:W22)</f>
        <v>14851270.770000001</v>
      </c>
      <c r="X23" s="51">
        <f>SUM(X17:X22)</f>
        <v>19899082.66</v>
      </c>
      <c r="Y23" s="78">
        <f t="shared" si="4"/>
        <v>0.74632941747878545</v>
      </c>
      <c r="Z23" s="51">
        <f>SUM(Z17:Z22)</f>
        <v>15215505</v>
      </c>
      <c r="AA23" s="51">
        <f>SUM(AA17:AA22)</f>
        <v>14633290.170000002</v>
      </c>
      <c r="AB23" s="51">
        <f>SUM(AB17:AB22)</f>
        <v>17250173.280000001</v>
      </c>
      <c r="AC23" s="78">
        <f t="shared" si="5"/>
        <v>0.84829815518235774</v>
      </c>
    </row>
    <row r="24" spans="1:29" ht="22.5" customHeight="1" thickTop="1">
      <c r="J24" s="21"/>
      <c r="K24" s="26"/>
    </row>
    <row r="25" spans="1:29">
      <c r="J25" s="21"/>
      <c r="K25" s="26"/>
      <c r="L25" s="15"/>
    </row>
    <row r="39" spans="1:34">
      <c r="J39" s="65"/>
      <c r="K39" s="65"/>
    </row>
    <row r="40" spans="1:34">
      <c r="J40" s="65"/>
      <c r="K40" s="65"/>
    </row>
    <row r="41" spans="1:34">
      <c r="J41" s="65"/>
      <c r="K41" s="65"/>
    </row>
    <row r="42" spans="1:34">
      <c r="J42" s="65"/>
      <c r="K42" s="65"/>
    </row>
    <row r="43" spans="1:34">
      <c r="J43" s="65"/>
      <c r="K43" s="65"/>
    </row>
    <row r="44" spans="1:34">
      <c r="J44" s="65"/>
      <c r="K44" s="65"/>
    </row>
    <row r="45" spans="1:34">
      <c r="J45" s="65"/>
      <c r="K45" s="65"/>
    </row>
    <row r="46" spans="1:34" ht="33" customHeight="1">
      <c r="A46" s="183" t="s">
        <v>88</v>
      </c>
      <c r="B46" s="183"/>
      <c r="C46" s="183"/>
      <c r="D46" s="183"/>
      <c r="E46" s="183"/>
      <c r="F46" s="183"/>
      <c r="J46" s="65"/>
      <c r="K46" s="65"/>
    </row>
    <row r="47" spans="1:34" ht="12" customHeight="1">
      <c r="B47" s="18"/>
      <c r="C47" s="18"/>
      <c r="D47" s="18"/>
      <c r="E47" s="18"/>
      <c r="J47" s="65"/>
      <c r="K47" s="65"/>
    </row>
    <row r="48" spans="1:34" ht="36" customHeight="1">
      <c r="A48" s="178"/>
      <c r="B48" s="178"/>
      <c r="C48" s="19" t="s">
        <v>154</v>
      </c>
      <c r="D48" s="19" t="s">
        <v>172</v>
      </c>
      <c r="E48" s="19" t="s">
        <v>19</v>
      </c>
      <c r="F48" s="9" t="s">
        <v>97</v>
      </c>
      <c r="G48" s="10">
        <v>0.75</v>
      </c>
      <c r="H48" s="2" t="s">
        <v>32</v>
      </c>
      <c r="K48" s="79" t="s">
        <v>154</v>
      </c>
      <c r="L48" s="75" t="s">
        <v>175</v>
      </c>
      <c r="M48" s="76">
        <v>2012</v>
      </c>
      <c r="N48" s="75" t="s">
        <v>156</v>
      </c>
      <c r="O48" s="79" t="s">
        <v>113</v>
      </c>
      <c r="P48" s="75" t="s">
        <v>176</v>
      </c>
      <c r="Q48" s="76">
        <v>2011</v>
      </c>
      <c r="R48" s="75" t="s">
        <v>115</v>
      </c>
      <c r="S48" s="79" t="s">
        <v>65</v>
      </c>
      <c r="T48" s="75" t="s">
        <v>135</v>
      </c>
      <c r="U48" s="76">
        <v>2010</v>
      </c>
      <c r="V48" s="75" t="s">
        <v>79</v>
      </c>
      <c r="W48" s="75" t="s">
        <v>1</v>
      </c>
      <c r="X48" s="75" t="s">
        <v>136</v>
      </c>
      <c r="Y48" s="76">
        <v>2009</v>
      </c>
      <c r="Z48" s="75" t="s">
        <v>81</v>
      </c>
      <c r="AA48" s="75">
        <v>2009</v>
      </c>
      <c r="AB48" s="75" t="s">
        <v>82</v>
      </c>
      <c r="AC48" s="75" t="s">
        <v>74</v>
      </c>
      <c r="AD48" s="75" t="s">
        <v>177</v>
      </c>
      <c r="AE48" s="76">
        <v>2008</v>
      </c>
      <c r="AF48" s="75" t="s">
        <v>84</v>
      </c>
      <c r="AG48" s="75">
        <v>2008</v>
      </c>
      <c r="AH48" s="75" t="s">
        <v>85</v>
      </c>
    </row>
    <row r="49" spans="1:34" ht="15.75" customHeight="1">
      <c r="A49" s="179" t="s">
        <v>23</v>
      </c>
      <c r="B49" s="180"/>
      <c r="C49" s="11">
        <f t="shared" ref="C49:D51" si="10">K49</f>
        <v>44035</v>
      </c>
      <c r="D49" s="11">
        <f t="shared" si="10"/>
        <v>0</v>
      </c>
      <c r="E49" s="12">
        <f>(D49/C49)</f>
        <v>0</v>
      </c>
      <c r="F49" s="22">
        <f>+G49-D49</f>
        <v>33026.25</v>
      </c>
      <c r="G49" s="23">
        <f>C49*0.75</f>
        <v>33026.25</v>
      </c>
      <c r="H49" s="24">
        <f>C49-D49</f>
        <v>44035</v>
      </c>
      <c r="I49" s="1">
        <v>0.75</v>
      </c>
      <c r="J49" s="65" t="str">
        <f>A49</f>
        <v>Conservation</v>
      </c>
      <c r="K49" s="129">
        <v>44035</v>
      </c>
      <c r="L49" s="129">
        <v>0</v>
      </c>
      <c r="M49" s="131">
        <f>L49/K49</f>
        <v>0</v>
      </c>
      <c r="N49" s="13">
        <f>K49-L49</f>
        <v>44035</v>
      </c>
      <c r="O49" s="129">
        <v>44035</v>
      </c>
      <c r="P49" s="129">
        <v>0</v>
      </c>
      <c r="Q49" s="131">
        <f>P49/O49</f>
        <v>0</v>
      </c>
      <c r="R49" s="13">
        <f>O49-P49</f>
        <v>44035</v>
      </c>
      <c r="S49" s="13">
        <v>44035</v>
      </c>
      <c r="T49" s="13">
        <v>1783.36</v>
      </c>
      <c r="U49" s="80">
        <f>(T49/S49)</f>
        <v>4.0498694220506413E-2</v>
      </c>
      <c r="V49" s="13">
        <f>S49-T49</f>
        <v>42251.64</v>
      </c>
      <c r="W49" s="13">
        <f>'FY 2009 Exp 01-06-10'!C2</f>
        <v>44035</v>
      </c>
      <c r="X49" s="13">
        <v>34213.74</v>
      </c>
      <c r="Y49" s="80">
        <f>X49/W49</f>
        <v>0.77696695810151006</v>
      </c>
      <c r="Z49" s="13">
        <f>'FY 2009 Exp 01-06-10'!D2</f>
        <v>217718</v>
      </c>
      <c r="AA49" s="80">
        <f>X49/Z49</f>
        <v>0.1571470434231437</v>
      </c>
      <c r="AB49" s="13">
        <f>W49-X49</f>
        <v>9821.260000000002</v>
      </c>
      <c r="AC49" s="13">
        <f>'FY 2008 Exp 01-06-10'!C2</f>
        <v>44035</v>
      </c>
      <c r="AD49" s="13">
        <v>53422.19</v>
      </c>
      <c r="AE49" s="80">
        <f>AD49/AC49</f>
        <v>1.2131756557283979</v>
      </c>
      <c r="AF49" s="13">
        <f>'FY 2008 Exp 01-06-10'!D2</f>
        <v>401290</v>
      </c>
      <c r="AG49" s="80">
        <f>AD49/AF49</f>
        <v>0.133126143188218</v>
      </c>
      <c r="AH49" s="13">
        <f>AC49-AD49</f>
        <v>-9387.1900000000023</v>
      </c>
    </row>
    <row r="50" spans="1:34" ht="15.75" customHeight="1">
      <c r="A50" s="179" t="s">
        <v>102</v>
      </c>
      <c r="B50" s="180"/>
      <c r="C50" s="22">
        <f t="shared" si="10"/>
        <v>19844693</v>
      </c>
      <c r="D50" s="22">
        <f t="shared" si="10"/>
        <v>12288907.039999999</v>
      </c>
      <c r="E50" s="12">
        <f>(D50/C50)</f>
        <v>0.61925407664406795</v>
      </c>
      <c r="F50" s="22">
        <f>+G50-D50</f>
        <v>2594612.7100000009</v>
      </c>
      <c r="G50" s="23">
        <f>C50*0.75</f>
        <v>14883519.75</v>
      </c>
      <c r="H50" s="25">
        <f>C50-D50</f>
        <v>7555785.9600000009</v>
      </c>
      <c r="I50" s="1">
        <v>0.75</v>
      </c>
      <c r="J50" s="65" t="str">
        <f>A50</f>
        <v>Public Transport</v>
      </c>
      <c r="K50" s="129">
        <v>19844693</v>
      </c>
      <c r="L50" s="129">
        <v>12288907.039999999</v>
      </c>
      <c r="M50" s="131">
        <f>L50/K50</f>
        <v>0.61925407664406795</v>
      </c>
      <c r="N50" s="81">
        <f>K50-L50</f>
        <v>7555785.9600000009</v>
      </c>
      <c r="O50" s="129">
        <v>19188923</v>
      </c>
      <c r="P50" s="129">
        <v>11472125</v>
      </c>
      <c r="Q50" s="131">
        <f>P50/O50</f>
        <v>0.59785142709676831</v>
      </c>
      <c r="R50" s="81">
        <f>O50-P50</f>
        <v>7716798</v>
      </c>
      <c r="S50" s="81">
        <v>19347332</v>
      </c>
      <c r="T50" s="81">
        <v>12130895.800000001</v>
      </c>
      <c r="U50" s="80">
        <f>(T50/S50)</f>
        <v>0.62700613190490562</v>
      </c>
      <c r="V50" s="81">
        <f>S50-T50</f>
        <v>7216436.1999999993</v>
      </c>
      <c r="W50" s="81">
        <f>'FY 2009 Exp 01-06-10'!C4</f>
        <v>19861346</v>
      </c>
      <c r="X50" s="81">
        <v>10227779.729999999</v>
      </c>
      <c r="Y50" s="80">
        <f>X50/W50</f>
        <v>0.51495904305780682</v>
      </c>
      <c r="Z50" s="81">
        <f>'FY 2009 Exp 01-06-10'!D4</f>
        <v>23302893</v>
      </c>
      <c r="AA50" s="80">
        <f>X50/Z50</f>
        <v>0.43890600750730813</v>
      </c>
      <c r="AB50" s="13">
        <f>W50-X50</f>
        <v>9633566.2700000014</v>
      </c>
      <c r="AC50" s="81">
        <f>'FY 2008 Exp 01-06-10'!C4</f>
        <v>17022879</v>
      </c>
      <c r="AD50" s="81">
        <v>9440688.6899999995</v>
      </c>
      <c r="AE50" s="80">
        <f>AD50/AC50</f>
        <v>0.55458825090632435</v>
      </c>
      <c r="AF50" s="81">
        <f>'FY 2008 Exp 01-06-10'!C4</f>
        <v>17022879</v>
      </c>
      <c r="AG50" s="80">
        <f>AD50/AF50</f>
        <v>0.55458825090632435</v>
      </c>
      <c r="AH50" s="13">
        <f>AC50-AD50</f>
        <v>7582190.3100000005</v>
      </c>
    </row>
    <row r="51" spans="1:34" ht="15.75" customHeight="1" thickBot="1">
      <c r="A51" s="179" t="s">
        <v>24</v>
      </c>
      <c r="B51" s="180"/>
      <c r="C51" s="22">
        <f t="shared" si="10"/>
        <v>0</v>
      </c>
      <c r="D51" s="22">
        <f t="shared" si="10"/>
        <v>0</v>
      </c>
      <c r="E51" s="12">
        <v>0</v>
      </c>
      <c r="F51" s="22">
        <f>+G51-D51</f>
        <v>0</v>
      </c>
      <c r="G51" s="23">
        <f>C51*0.75</f>
        <v>0</v>
      </c>
      <c r="H51" s="25">
        <f>C51-D51</f>
        <v>0</v>
      </c>
      <c r="I51" s="1">
        <v>0.75</v>
      </c>
      <c r="J51" s="65" t="str">
        <f>A51</f>
        <v>Transfers</v>
      </c>
      <c r="K51" s="130">
        <v>0</v>
      </c>
      <c r="L51" s="130">
        <v>0</v>
      </c>
      <c r="M51" s="133" t="e">
        <f>L51/K51</f>
        <v>#DIV/0!</v>
      </c>
      <c r="N51" s="83">
        <f>K51-L51</f>
        <v>0</v>
      </c>
      <c r="O51" s="130">
        <v>0</v>
      </c>
      <c r="P51" s="130">
        <v>0</v>
      </c>
      <c r="Q51" s="133" t="e">
        <f>P51/O51</f>
        <v>#DIV/0!</v>
      </c>
      <c r="R51" s="83">
        <f>O51-P51</f>
        <v>0</v>
      </c>
      <c r="S51" s="83">
        <v>0</v>
      </c>
      <c r="T51" s="83">
        <v>0</v>
      </c>
      <c r="U51" s="77" t="e">
        <f>(T51/S51)</f>
        <v>#DIV/0!</v>
      </c>
      <c r="V51" s="83">
        <f>S51-T51</f>
        <v>0</v>
      </c>
      <c r="W51" s="83">
        <f>'FY 2009 Exp 01-06-10'!C5</f>
        <v>0</v>
      </c>
      <c r="X51" s="83">
        <v>433900</v>
      </c>
      <c r="Y51" s="77" t="e">
        <f>X51/W51</f>
        <v>#DIV/0!</v>
      </c>
      <c r="Z51" s="83">
        <f>'FY 2009 Exp 01-06-10'!D5</f>
        <v>433900</v>
      </c>
      <c r="AA51" s="77">
        <f>X51/Z51</f>
        <v>1</v>
      </c>
      <c r="AB51" s="84">
        <f>W51-X51</f>
        <v>-433900</v>
      </c>
      <c r="AC51" s="83">
        <f>'FY 2008 Exp 01-06-10'!C5</f>
        <v>0</v>
      </c>
      <c r="AD51" s="83">
        <v>0</v>
      </c>
      <c r="AE51" s="77" t="e">
        <f>AD51/AC51</f>
        <v>#DIV/0!</v>
      </c>
      <c r="AF51" s="83">
        <f>'FY 2008 Exp 01-06-10'!C5</f>
        <v>0</v>
      </c>
      <c r="AG51" s="77" t="e">
        <f>AD51/AF51</f>
        <v>#DIV/0!</v>
      </c>
      <c r="AH51" s="84">
        <f>AC51-AD51</f>
        <v>0</v>
      </c>
    </row>
    <row r="52" spans="1:34" ht="15.75" customHeight="1" thickBot="1">
      <c r="A52" s="181" t="s">
        <v>22</v>
      </c>
      <c r="B52" s="182"/>
      <c r="C52" s="20">
        <f>SUM(C49:C51)</f>
        <v>19888728</v>
      </c>
      <c r="D52" s="20">
        <f>SUM(D49:D51)</f>
        <v>12288907.039999999</v>
      </c>
      <c r="E52" s="12">
        <f>(D52/C52)</f>
        <v>0.6178830058915783</v>
      </c>
      <c r="F52" s="144">
        <f>+G52-D52</f>
        <v>2627638.9600000009</v>
      </c>
      <c r="G52" s="23">
        <f>C52*0.75</f>
        <v>14916546</v>
      </c>
      <c r="J52" s="50"/>
      <c r="K52" s="82">
        <f>SUM(K49:K51)</f>
        <v>19888728</v>
      </c>
      <c r="L52" s="82">
        <f>SUM(L49:L51)</f>
        <v>12288907.039999999</v>
      </c>
      <c r="M52" s="132">
        <f>L52/K52</f>
        <v>0.6178830058915783</v>
      </c>
      <c r="N52" s="82">
        <f>SUM(N49:N51)</f>
        <v>7599820.9600000009</v>
      </c>
      <c r="O52" s="82">
        <f>SUM(O49:O51)</f>
        <v>19232958</v>
      </c>
      <c r="P52" s="82">
        <f>SUM(P49:P51)</f>
        <v>11472125</v>
      </c>
      <c r="Q52" s="132">
        <f>P52/O52</f>
        <v>0.59648261073517661</v>
      </c>
      <c r="R52" s="82">
        <f>SUM(R49:R51)</f>
        <v>7760833</v>
      </c>
      <c r="S52" s="82">
        <f>SUM(S49:S51)</f>
        <v>19391367</v>
      </c>
      <c r="T52" s="82">
        <f>SUM(T49:T51)</f>
        <v>12132679.16</v>
      </c>
      <c r="U52" s="78">
        <f>(T52/S52)</f>
        <v>0.62567425803451604</v>
      </c>
      <c r="V52" s="82">
        <f>SUM(V49:V51)</f>
        <v>7258687.8399999989</v>
      </c>
      <c r="W52" s="82">
        <f>SUM(W49:W51)</f>
        <v>19905381</v>
      </c>
      <c r="X52" s="82">
        <f>SUM(X49:X51)</f>
        <v>10695893.469999999</v>
      </c>
      <c r="Y52" s="78">
        <f>X52/W52</f>
        <v>0.53733678697232667</v>
      </c>
      <c r="Z52" s="82">
        <f>SUM(Z49:Z51)</f>
        <v>23954511</v>
      </c>
      <c r="AA52" s="78">
        <f>X52/Z52</f>
        <v>0.4465085290198576</v>
      </c>
      <c r="AB52" s="82">
        <f>SUM(AB49:AB51)</f>
        <v>9209487.5300000012</v>
      </c>
      <c r="AC52" s="82">
        <f>SUM(AC49:AC51)</f>
        <v>17066914</v>
      </c>
      <c r="AD52" s="82">
        <f>SUM(AD49:AD51)</f>
        <v>9494110.879999999</v>
      </c>
      <c r="AE52" s="78">
        <f>AD52/AC52</f>
        <v>0.55628749755228146</v>
      </c>
      <c r="AF52" s="82">
        <f>SUM(AF49:AF51)</f>
        <v>17424169</v>
      </c>
      <c r="AG52" s="78">
        <f>AD52/AF52</f>
        <v>0.54488170311020279</v>
      </c>
      <c r="AH52" s="82">
        <f>SUM(AH49:AH51)</f>
        <v>7572803.1200000001</v>
      </c>
    </row>
    <row r="53" spans="1:34" ht="15.75" customHeight="1" thickTop="1">
      <c r="A53" s="134"/>
      <c r="B53" s="134"/>
      <c r="C53" s="135"/>
      <c r="D53" s="135"/>
      <c r="E53" s="136"/>
      <c r="F53" s="23"/>
      <c r="G53" s="14"/>
      <c r="J53" s="50"/>
      <c r="K53" s="137"/>
      <c r="L53" s="137"/>
      <c r="M53" s="138"/>
      <c r="N53" s="24"/>
      <c r="O53" s="24"/>
      <c r="P53" s="24"/>
      <c r="Q53" s="136"/>
      <c r="R53" s="24"/>
      <c r="S53" s="24"/>
      <c r="T53" s="24"/>
      <c r="U53" s="136"/>
      <c r="V53" s="24"/>
      <c r="W53" s="136"/>
      <c r="X53" s="24"/>
      <c r="Y53" s="24"/>
      <c r="Z53" s="24"/>
      <c r="AA53" s="136"/>
      <c r="AB53" s="24"/>
      <c r="AC53" s="136"/>
      <c r="AD53" s="24"/>
    </row>
  </sheetData>
  <mergeCells count="17">
    <mergeCell ref="A48:B48"/>
    <mergeCell ref="A49:B49"/>
    <mergeCell ref="A50:B50"/>
    <mergeCell ref="A51:B51"/>
    <mergeCell ref="A52:B52"/>
    <mergeCell ref="A46:F46"/>
    <mergeCell ref="B3:D3"/>
    <mergeCell ref="A13:F13"/>
    <mergeCell ref="A14:F14"/>
    <mergeCell ref="A16:B16"/>
    <mergeCell ref="A17:B17"/>
    <mergeCell ref="A18:B18"/>
    <mergeCell ref="A19:B19"/>
    <mergeCell ref="A20:B20"/>
    <mergeCell ref="A21:B21"/>
    <mergeCell ref="A22:B22"/>
    <mergeCell ref="A23:B23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3"/>
  <sheetViews>
    <sheetView topLeftCell="E25" zoomScale="90" zoomScaleNormal="90" workbookViewId="0">
      <selection activeCell="K48" sqref="K48:AH52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9.12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2.5" style="2" bestFit="1" customWidth="1"/>
    <col min="12" max="12" width="11.875" style="2" bestFit="1" customWidth="1"/>
    <col min="13" max="14" width="11.5" style="2" customWidth="1"/>
    <col min="15" max="15" width="11.125" style="2" bestFit="1" customWidth="1"/>
    <col min="16" max="16" width="13.25" style="2" bestFit="1" customWidth="1"/>
    <col min="17" max="17" width="12.75" style="2" customWidth="1"/>
    <col min="18" max="18" width="12.5" style="2" bestFit="1" customWidth="1"/>
    <col min="19" max="19" width="11.25" style="2" customWidth="1"/>
    <col min="20" max="20" width="12.5" style="2" bestFit="1" customWidth="1"/>
    <col min="21" max="21" width="11.125" style="2" bestFit="1" customWidth="1"/>
    <col min="22" max="22" width="15.875" style="2" customWidth="1"/>
    <col min="23" max="23" width="10.75" style="2" customWidth="1"/>
    <col min="24" max="24" width="13.625" style="2" customWidth="1"/>
    <col min="25" max="25" width="11.875" style="2" customWidth="1"/>
    <col min="26" max="26" width="12.5" style="2" bestFit="1" customWidth="1"/>
    <col min="27" max="27" width="11.5" style="2" customWidth="1"/>
    <col min="28" max="28" width="11" style="2" customWidth="1"/>
    <col min="29" max="29" width="9" style="2"/>
    <col min="30" max="30" width="14" style="2" customWidth="1"/>
    <col min="31" max="16384" width="9" style="2"/>
  </cols>
  <sheetData>
    <row r="1" spans="1:29" ht="15.95" customHeight="1">
      <c r="E1" s="3"/>
      <c r="F1" s="3" t="s">
        <v>17</v>
      </c>
    </row>
    <row r="2" spans="1:29" ht="15.95" customHeight="1">
      <c r="E2" s="3"/>
      <c r="F2" s="3" t="s">
        <v>36</v>
      </c>
    </row>
    <row r="3" spans="1:29" ht="15.95" customHeight="1">
      <c r="B3" s="175" t="s">
        <v>30</v>
      </c>
      <c r="C3" s="175"/>
      <c r="D3" s="175"/>
      <c r="E3" s="3"/>
      <c r="F3" s="3" t="s">
        <v>37</v>
      </c>
    </row>
    <row r="4" spans="1:29" ht="15.95" customHeight="1">
      <c r="E4" s="3"/>
      <c r="F4" s="3" t="s">
        <v>38</v>
      </c>
    </row>
    <row r="5" spans="1:29" ht="15.95" customHeight="1">
      <c r="E5" s="3"/>
      <c r="F5" s="3" t="s">
        <v>18</v>
      </c>
    </row>
    <row r="6" spans="1:29" ht="15.75">
      <c r="A6" s="4"/>
      <c r="B6" s="4"/>
      <c r="C6" s="4"/>
      <c r="D6" s="5"/>
      <c r="E6" s="5"/>
      <c r="F6" s="4"/>
    </row>
    <row r="7" spans="1:29" ht="15.75">
      <c r="D7" s="3"/>
      <c r="E7" s="3"/>
    </row>
    <row r="8" spans="1:29" ht="19.5" customHeight="1">
      <c r="A8" s="6" t="s">
        <v>25</v>
      </c>
      <c r="B8" s="7" t="s">
        <v>26</v>
      </c>
    </row>
    <row r="9" spans="1:29" ht="19.5" customHeight="1">
      <c r="A9" s="6" t="s">
        <v>27</v>
      </c>
      <c r="B9" s="7" t="s">
        <v>64</v>
      </c>
    </row>
    <row r="10" spans="1:29" ht="19.5" customHeight="1">
      <c r="A10" s="6" t="s">
        <v>28</v>
      </c>
      <c r="B10" s="8">
        <v>41014</v>
      </c>
    </row>
    <row r="11" spans="1:29" ht="19.5" customHeight="1">
      <c r="A11" s="6" t="s">
        <v>29</v>
      </c>
      <c r="B11" s="7" t="s">
        <v>160</v>
      </c>
    </row>
    <row r="12" spans="1:29" ht="19.5" customHeight="1">
      <c r="A12" s="6"/>
      <c r="B12" s="7"/>
    </row>
    <row r="13" spans="1:29" ht="24.75" customHeight="1">
      <c r="A13" s="184"/>
      <c r="B13" s="184"/>
      <c r="C13" s="184"/>
      <c r="D13" s="184"/>
      <c r="E13" s="184"/>
      <c r="F13" s="184"/>
    </row>
    <row r="14" spans="1:29" ht="31.5" customHeight="1">
      <c r="A14" s="183" t="s">
        <v>87</v>
      </c>
      <c r="B14" s="183"/>
      <c r="C14" s="183"/>
      <c r="D14" s="183"/>
      <c r="E14" s="183"/>
      <c r="F14" s="183"/>
    </row>
    <row r="15" spans="1:29">
      <c r="K15" s="64"/>
      <c r="L15" s="64"/>
      <c r="M15" s="64"/>
      <c r="N15" s="64"/>
    </row>
    <row r="16" spans="1:29" ht="38.25">
      <c r="A16" s="185"/>
      <c r="B16" s="185"/>
      <c r="C16" s="9" t="s">
        <v>154</v>
      </c>
      <c r="D16" s="9" t="s">
        <v>161</v>
      </c>
      <c r="E16" s="9" t="s">
        <v>19</v>
      </c>
      <c r="F16" s="9" t="s">
        <v>91</v>
      </c>
      <c r="G16" s="10">
        <v>0.5</v>
      </c>
      <c r="H16" s="2" t="s">
        <v>31</v>
      </c>
      <c r="I16" s="10">
        <v>0.5</v>
      </c>
      <c r="K16" s="9" t="s">
        <v>152</v>
      </c>
      <c r="L16" s="9" t="s">
        <v>167</v>
      </c>
      <c r="M16" s="9">
        <v>2012</v>
      </c>
      <c r="N16" s="9" t="s">
        <v>110</v>
      </c>
      <c r="O16" s="9" t="s">
        <v>168</v>
      </c>
      <c r="P16" s="9" t="s">
        <v>150</v>
      </c>
      <c r="Q16" s="9">
        <v>2011</v>
      </c>
      <c r="R16" s="9" t="s">
        <v>65</v>
      </c>
      <c r="S16" s="9" t="s">
        <v>123</v>
      </c>
      <c r="T16" s="9" t="s">
        <v>149</v>
      </c>
      <c r="U16" s="9">
        <v>2010</v>
      </c>
      <c r="V16" s="9" t="s">
        <v>1</v>
      </c>
      <c r="W16" s="9" t="s">
        <v>169</v>
      </c>
      <c r="X16" s="9" t="s">
        <v>76</v>
      </c>
      <c r="Y16" s="9">
        <v>2009</v>
      </c>
      <c r="Z16" s="9" t="s">
        <v>74</v>
      </c>
      <c r="AA16" s="9" t="s">
        <v>125</v>
      </c>
      <c r="AB16" s="9" t="s">
        <v>77</v>
      </c>
      <c r="AC16" s="9">
        <v>2008</v>
      </c>
    </row>
    <row r="17" spans="1:29" ht="15.75" customHeight="1">
      <c r="A17" s="186" t="s">
        <v>20</v>
      </c>
      <c r="B17" s="186"/>
      <c r="C17" s="11">
        <f t="shared" ref="C17:D22" si="0">K17</f>
        <v>2160925</v>
      </c>
      <c r="D17" s="11">
        <f t="shared" si="0"/>
        <v>2132779</v>
      </c>
      <c r="E17" s="12">
        <f t="shared" ref="E17:E23" si="1">(D17/C17)</f>
        <v>0.98697502227055545</v>
      </c>
      <c r="F17" s="29">
        <f t="shared" ref="F17:F22" si="2">D17-G17</f>
        <v>1052316.5</v>
      </c>
      <c r="G17" s="14">
        <f>C17*0.5</f>
        <v>1080462.5</v>
      </c>
      <c r="H17" s="15">
        <f>C17-D17</f>
        <v>28146</v>
      </c>
      <c r="I17" s="10">
        <v>0.5</v>
      </c>
      <c r="J17" s="21" t="str">
        <f t="shared" ref="J17:J22" si="3">A17</f>
        <v>Current / Delinquent Taxes</v>
      </c>
      <c r="K17" s="129">
        <v>2160925</v>
      </c>
      <c r="L17" s="129">
        <v>2132779</v>
      </c>
      <c r="M17" s="141">
        <f>L17/K17</f>
        <v>0.98697502227055545</v>
      </c>
      <c r="N17" s="129">
        <v>0</v>
      </c>
      <c r="O17" s="129">
        <v>0</v>
      </c>
      <c r="P17" s="11">
        <v>0</v>
      </c>
      <c r="Q17" s="140" t="e">
        <f>O17/P17</f>
        <v>#DIV/0!</v>
      </c>
      <c r="R17" s="11">
        <v>4337995</v>
      </c>
      <c r="S17" s="11">
        <v>4196940.17</v>
      </c>
      <c r="T17" s="11">
        <v>4339903</v>
      </c>
      <c r="U17" s="12">
        <f>S17/T17</f>
        <v>0.96705851951068955</v>
      </c>
      <c r="V17" s="11">
        <f>'FY 2009 Rev 01-15-10'!E3</f>
        <v>4070011</v>
      </c>
      <c r="W17" s="11">
        <v>3954561.81</v>
      </c>
      <c r="X17" s="11">
        <f>'FY 2009 Rev 01-15-10'!D3</f>
        <v>4095648.34</v>
      </c>
      <c r="Y17" s="12">
        <f t="shared" ref="Y17:Y23" si="4">W17/X17</f>
        <v>0.96555208887880262</v>
      </c>
      <c r="Z17" s="11">
        <f>'FY 2008 Rev 01-15-10'!E3</f>
        <v>762480</v>
      </c>
      <c r="AA17" s="11">
        <f>SUM('FY 2008 Rev 01-15-10'!F3:K3)</f>
        <v>756404.02</v>
      </c>
      <c r="AB17" s="11">
        <f>'FY 2008 Rev 01-15-10'!D3</f>
        <v>788839.59</v>
      </c>
      <c r="AC17" s="12">
        <f t="shared" ref="AC17:AC23" si="5">AA17/AB17</f>
        <v>0.95888191919982113</v>
      </c>
    </row>
    <row r="18" spans="1:29" ht="15.75" customHeight="1">
      <c r="A18" s="186" t="s">
        <v>66</v>
      </c>
      <c r="B18" s="186"/>
      <c r="C18" s="22">
        <f t="shared" si="0"/>
        <v>1300</v>
      </c>
      <c r="D18" s="22">
        <f t="shared" si="0"/>
        <v>567</v>
      </c>
      <c r="E18" s="12">
        <f t="shared" si="1"/>
        <v>0.43615384615384617</v>
      </c>
      <c r="F18" s="22">
        <f>D18-G18</f>
        <v>-83</v>
      </c>
      <c r="G18" s="14">
        <f t="shared" ref="G18:G23" si="6">C18*0.5</f>
        <v>650</v>
      </c>
      <c r="H18" s="15">
        <f>C18-D18</f>
        <v>733</v>
      </c>
      <c r="I18" s="10">
        <v>0.5</v>
      </c>
      <c r="J18" s="21" t="str">
        <f t="shared" si="3"/>
        <v>License / Permits</v>
      </c>
      <c r="K18" s="129">
        <v>1300</v>
      </c>
      <c r="L18" s="129">
        <v>567</v>
      </c>
      <c r="M18" s="141">
        <f t="shared" ref="M18:M23" si="7">L18/K18</f>
        <v>0.43615384615384617</v>
      </c>
      <c r="N18" s="129">
        <v>2000</v>
      </c>
      <c r="O18" s="129">
        <v>684</v>
      </c>
      <c r="P18" s="28">
        <v>1431</v>
      </c>
      <c r="Q18" s="141">
        <f t="shared" ref="Q18:Q23" si="8">O18/P18</f>
        <v>0.4779874213836478</v>
      </c>
      <c r="R18" s="16">
        <v>1854</v>
      </c>
      <c r="S18" s="28">
        <v>630</v>
      </c>
      <c r="T18" s="28">
        <v>1656</v>
      </c>
      <c r="U18" s="12">
        <f t="shared" ref="U18:U23" si="9">S18/T18</f>
        <v>0.38043478260869568</v>
      </c>
      <c r="V18" s="28">
        <f>'FY 2009 Rev 01-15-10'!E5</f>
        <v>3000</v>
      </c>
      <c r="W18" s="28">
        <v>900</v>
      </c>
      <c r="X18" s="28">
        <f>'FY 2009 Rev 01-15-10'!D5</f>
        <v>1476</v>
      </c>
      <c r="Y18" s="12">
        <f t="shared" si="4"/>
        <v>0.6097560975609756</v>
      </c>
      <c r="Z18" s="28">
        <f>'FY 2008 Rev 01-15-10'!E5</f>
        <v>7500</v>
      </c>
      <c r="AA18" s="28">
        <f>SUM('FY 2008 Rev 01-15-10'!F5:K5)</f>
        <v>1260</v>
      </c>
      <c r="AB18" s="28">
        <f>'FY 2008 Rev 01-15-10'!D5</f>
        <v>3209</v>
      </c>
      <c r="AC18" s="12">
        <f t="shared" si="5"/>
        <v>0.39264568401371142</v>
      </c>
    </row>
    <row r="19" spans="1:29" ht="24.75" customHeight="1">
      <c r="A19" s="186" t="s">
        <v>2</v>
      </c>
      <c r="B19" s="186"/>
      <c r="C19" s="22">
        <f t="shared" si="0"/>
        <v>13214500</v>
      </c>
      <c r="D19" s="22">
        <f t="shared" si="0"/>
        <v>5532969.7999999998</v>
      </c>
      <c r="E19" s="12">
        <f t="shared" si="1"/>
        <v>0.4187044383064058</v>
      </c>
      <c r="F19" s="22">
        <f t="shared" si="2"/>
        <v>-1074280.2000000002</v>
      </c>
      <c r="G19" s="14">
        <f t="shared" si="6"/>
        <v>6607250</v>
      </c>
      <c r="H19" s="27">
        <f>C19-D19</f>
        <v>7681530.2000000002</v>
      </c>
      <c r="I19" s="10">
        <v>0.5</v>
      </c>
      <c r="J19" s="21" t="str">
        <f t="shared" si="3"/>
        <v>Fees/Charges for Services</v>
      </c>
      <c r="K19" s="129">
        <v>13214500</v>
      </c>
      <c r="L19" s="129">
        <f>65174.74+5467795.06</f>
        <v>5532969.7999999998</v>
      </c>
      <c r="M19" s="141">
        <f t="shared" si="7"/>
        <v>0.4187044383064058</v>
      </c>
      <c r="N19" s="129">
        <v>13169000</v>
      </c>
      <c r="O19" s="129">
        <f>125659+5526656</f>
        <v>5652315</v>
      </c>
      <c r="P19" s="28">
        <v>13131612</v>
      </c>
      <c r="Q19" s="141">
        <f t="shared" si="8"/>
        <v>0.43043573020585746</v>
      </c>
      <c r="R19" s="16">
        <v>12094490</v>
      </c>
      <c r="S19" s="28">
        <v>5724813.4099999992</v>
      </c>
      <c r="T19" s="28">
        <v>12252721</v>
      </c>
      <c r="U19" s="12">
        <f t="shared" si="9"/>
        <v>0.46722792512781441</v>
      </c>
      <c r="V19" s="28">
        <f>'FY 2009 Rev 01-15-10'!E10</f>
        <v>11806400</v>
      </c>
      <c r="W19" s="28">
        <v>6735300.7800000003</v>
      </c>
      <c r="X19" s="28">
        <f>'FY 2009 Rev 01-15-10'!D10</f>
        <v>13237833.390000001</v>
      </c>
      <c r="Y19" s="12">
        <f t="shared" si="4"/>
        <v>0.50879177744357451</v>
      </c>
      <c r="Z19" s="28">
        <f>'FY 2008 Rev 01-15-10'!E10</f>
        <v>11740700</v>
      </c>
      <c r="AA19" s="28">
        <f>SUM('FY 2008 Rev 01-15-10'!F10:K10)</f>
        <v>7275137.5700000012</v>
      </c>
      <c r="AB19" s="28">
        <f>'FY 2008 Rev 01-15-10'!D10</f>
        <v>13297241.34</v>
      </c>
      <c r="AC19" s="12">
        <f t="shared" si="5"/>
        <v>0.54711630660679589</v>
      </c>
    </row>
    <row r="20" spans="1:29" ht="15.75" customHeight="1">
      <c r="A20" s="186" t="s">
        <v>4</v>
      </c>
      <c r="B20" s="186"/>
      <c r="C20" s="22">
        <f t="shared" si="0"/>
        <v>1741500</v>
      </c>
      <c r="D20" s="22">
        <f t="shared" si="0"/>
        <v>881429</v>
      </c>
      <c r="E20" s="12">
        <f t="shared" si="1"/>
        <v>0.50613207005455063</v>
      </c>
      <c r="F20" s="22">
        <f t="shared" si="2"/>
        <v>10679</v>
      </c>
      <c r="G20" s="14">
        <f t="shared" si="6"/>
        <v>870750</v>
      </c>
      <c r="H20" s="27">
        <f>C20-D20</f>
        <v>860071</v>
      </c>
      <c r="I20" s="10">
        <v>0.5</v>
      </c>
      <c r="J20" s="21" t="str">
        <f t="shared" si="3"/>
        <v>Fines</v>
      </c>
      <c r="K20" s="129">
        <v>1741500</v>
      </c>
      <c r="L20" s="129">
        <v>881429</v>
      </c>
      <c r="M20" s="141">
        <f t="shared" si="7"/>
        <v>0.50613207005455063</v>
      </c>
      <c r="N20" s="129">
        <v>2066000</v>
      </c>
      <c r="O20" s="129">
        <v>810059</v>
      </c>
      <c r="P20" s="28">
        <v>1819075</v>
      </c>
      <c r="Q20" s="141">
        <f t="shared" si="8"/>
        <v>0.44531368964995943</v>
      </c>
      <c r="R20" s="16">
        <v>2295355</v>
      </c>
      <c r="S20" s="28">
        <v>853428.09</v>
      </c>
      <c r="T20" s="28">
        <v>2025223</v>
      </c>
      <c r="U20" s="12">
        <f t="shared" si="9"/>
        <v>0.42139956439364945</v>
      </c>
      <c r="V20" s="28">
        <f>'FY 2009 Rev 01-15-10'!E12</f>
        <v>1904500</v>
      </c>
      <c r="W20" s="28">
        <v>1065360.77</v>
      </c>
      <c r="X20" s="28">
        <f>'FY 2009 Rev 01-15-10'!D12</f>
        <v>2213669.08</v>
      </c>
      <c r="Y20" s="12">
        <f t="shared" si="4"/>
        <v>0.48126469291426338</v>
      </c>
      <c r="Z20" s="28">
        <f>'FY 2008 Rev 01-15-10'!E12</f>
        <v>2042325</v>
      </c>
      <c r="AA20" s="28">
        <f>SUM('FY 2008 Rev 01-15-10'!F12:K12)</f>
        <v>382505.06000000006</v>
      </c>
      <c r="AB20" s="28">
        <f>'FY 2008 Rev 01-15-10'!D12</f>
        <v>2340429.91</v>
      </c>
      <c r="AC20" s="12">
        <f t="shared" si="5"/>
        <v>0.1634336744568437</v>
      </c>
    </row>
    <row r="21" spans="1:29" ht="15.75" customHeight="1">
      <c r="A21" s="186" t="s">
        <v>3</v>
      </c>
      <c r="B21" s="186"/>
      <c r="C21" s="22">
        <f t="shared" si="0"/>
        <v>180000</v>
      </c>
      <c r="D21" s="22">
        <f t="shared" si="0"/>
        <v>65799</v>
      </c>
      <c r="E21" s="12">
        <f t="shared" si="1"/>
        <v>0.36554999999999999</v>
      </c>
      <c r="F21" s="22">
        <f t="shared" si="2"/>
        <v>-24201</v>
      </c>
      <c r="G21" s="14">
        <f t="shared" si="6"/>
        <v>90000</v>
      </c>
      <c r="H21" s="27">
        <f>C21-D21</f>
        <v>114201</v>
      </c>
      <c r="I21" s="10">
        <v>0.5</v>
      </c>
      <c r="J21" s="21" t="str">
        <f t="shared" si="3"/>
        <v>Investment Revenue</v>
      </c>
      <c r="K21" s="129">
        <v>180000</v>
      </c>
      <c r="L21" s="129">
        <v>65799</v>
      </c>
      <c r="M21" s="141">
        <f t="shared" si="7"/>
        <v>0.36554999999999999</v>
      </c>
      <c r="N21" s="129">
        <v>120000</v>
      </c>
      <c r="O21" s="129">
        <v>94928</v>
      </c>
      <c r="P21" s="28">
        <v>194336</v>
      </c>
      <c r="Q21" s="141">
        <f t="shared" si="8"/>
        <v>0.48847357154618803</v>
      </c>
      <c r="R21" s="16">
        <v>280881</v>
      </c>
      <c r="S21" s="28">
        <v>93456.47</v>
      </c>
      <c r="T21" s="28">
        <v>222534</v>
      </c>
      <c r="U21" s="12">
        <f t="shared" si="9"/>
        <v>0.41996490423935218</v>
      </c>
      <c r="V21" s="28">
        <f>'FY 2009 Rev 01-15-10'!E14</f>
        <v>305000</v>
      </c>
      <c r="W21" s="28">
        <v>142656.41999999998</v>
      </c>
      <c r="X21" s="28">
        <f>'FY 2009 Rev 01-15-10'!D14</f>
        <v>284617.61</v>
      </c>
      <c r="Y21" s="12">
        <f t="shared" si="4"/>
        <v>0.50122134045043798</v>
      </c>
      <c r="Z21" s="28">
        <f>'FY 2008 Rev 01-15-10'!E14</f>
        <v>572500</v>
      </c>
      <c r="AA21" s="28">
        <f>SUM('FY 2008 Rev 01-15-10'!F14:K14)</f>
        <v>224414.43</v>
      </c>
      <c r="AB21" s="28">
        <f>'FY 2008 Rev 01-15-10'!D14</f>
        <v>457042.89</v>
      </c>
      <c r="AC21" s="12">
        <f t="shared" si="5"/>
        <v>0.49101393963266771</v>
      </c>
    </row>
    <row r="22" spans="1:29" ht="15.75" customHeight="1" thickBot="1">
      <c r="A22" s="186" t="s">
        <v>21</v>
      </c>
      <c r="B22" s="186"/>
      <c r="C22" s="22">
        <f t="shared" si="0"/>
        <v>15000</v>
      </c>
      <c r="D22" s="22">
        <f t="shared" si="0"/>
        <v>179416.64</v>
      </c>
      <c r="E22" s="12">
        <f t="shared" si="1"/>
        <v>11.961109333333335</v>
      </c>
      <c r="F22" s="22">
        <f t="shared" si="2"/>
        <v>171916.64</v>
      </c>
      <c r="G22" s="14">
        <f t="shared" si="6"/>
        <v>7500</v>
      </c>
      <c r="H22" s="27">
        <v>0</v>
      </c>
      <c r="I22" s="10">
        <v>0.5</v>
      </c>
      <c r="J22" s="21" t="str">
        <f t="shared" si="3"/>
        <v>Miscellaneous</v>
      </c>
      <c r="K22" s="130">
        <v>15000</v>
      </c>
      <c r="L22" s="130">
        <f>4366+204922-29871.36</f>
        <v>179416.64</v>
      </c>
      <c r="M22" s="142">
        <f t="shared" si="7"/>
        <v>11.961109333333335</v>
      </c>
      <c r="N22" s="130">
        <f>15000+10000</f>
        <v>25000</v>
      </c>
      <c r="O22" s="130">
        <v>3904</v>
      </c>
      <c r="P22" s="53">
        <f>49000+9304</f>
        <v>58304</v>
      </c>
      <c r="Q22" s="142">
        <f t="shared" si="8"/>
        <v>6.6959385290889128E-2</v>
      </c>
      <c r="R22" s="52">
        <v>25400</v>
      </c>
      <c r="S22" s="53">
        <v>37758.550000000003</v>
      </c>
      <c r="T22" s="53">
        <f>11655+53850</f>
        <v>65505</v>
      </c>
      <c r="U22" s="77">
        <f t="shared" si="9"/>
        <v>0.57642241050301513</v>
      </c>
      <c r="V22" s="53">
        <f>'FY 2009 Rev 01-15-10'!E16+'FY 2009 Rev 01-15-10'!E18+'FY 2009 Rev 01-15-10'!E20</f>
        <v>117000</v>
      </c>
      <c r="W22" s="53">
        <v>14288.72</v>
      </c>
      <c r="X22" s="53">
        <f>'FY 2009 Rev 01-15-10'!D16+'FY 2009 Rev 01-15-10'!D18+'FY 2009 Rev 01-15-10'!D20</f>
        <v>65838.240000000005</v>
      </c>
      <c r="Y22" s="77">
        <f t="shared" si="4"/>
        <v>0.21702767267168743</v>
      </c>
      <c r="Z22" s="53">
        <f>'FY 2008 Rev 01-15-10'!E16+'FY 2008 Rev 01-15-10'!E18+'FY 2008 Rev 01-15-10'!E20</f>
        <v>90000</v>
      </c>
      <c r="AA22" s="53">
        <f>SUM('FY 2008 Rev 01-15-10'!F16:K16,'FY 2008 Rev 01-15-10'!F18:K18,'FY 2008 Rev 01-15-10'!F20:K20)</f>
        <v>318181.45999999996</v>
      </c>
      <c r="AB22" s="53">
        <f>'FY 2008 Rev 01-15-10'!D16+'FY 2008 Rev 01-15-10'!D18+'FY 2008 Rev 01-15-10'!D20</f>
        <v>363410.55000000005</v>
      </c>
      <c r="AC22" s="77">
        <f t="shared" si="5"/>
        <v>0.87554271608240297</v>
      </c>
    </row>
    <row r="23" spans="1:29" ht="15.75" customHeight="1" thickBot="1">
      <c r="A23" s="187" t="s">
        <v>22</v>
      </c>
      <c r="B23" s="187"/>
      <c r="C23" s="11">
        <f>SUM(C17:C22)</f>
        <v>17313225</v>
      </c>
      <c r="D23" s="11">
        <f>SUM(D17:D22)</f>
        <v>8792960.4400000013</v>
      </c>
      <c r="E23" s="12">
        <f t="shared" si="1"/>
        <v>0.50787536348658335</v>
      </c>
      <c r="F23" s="17">
        <f>SUM(F17:F22)</f>
        <v>136347.93999999983</v>
      </c>
      <c r="G23" s="14">
        <f t="shared" si="6"/>
        <v>8656612.5</v>
      </c>
      <c r="H23" s="27"/>
      <c r="J23" s="21"/>
      <c r="K23" s="128">
        <f>SUM(K17:K22)</f>
        <v>17313225</v>
      </c>
      <c r="L23" s="51">
        <f>SUM(L17:L22)</f>
        <v>8792960.4400000013</v>
      </c>
      <c r="M23" s="143">
        <f t="shared" si="7"/>
        <v>0.50787536348658335</v>
      </c>
      <c r="N23" s="128">
        <f>SUM(N17:N22)</f>
        <v>15382000</v>
      </c>
      <c r="O23" s="51">
        <f>SUM(O17:O22)</f>
        <v>6561890</v>
      </c>
      <c r="P23" s="51">
        <f>SUM(P17:P22)</f>
        <v>15204758</v>
      </c>
      <c r="Q23" s="143">
        <f t="shared" si="8"/>
        <v>0.43156819727088058</v>
      </c>
      <c r="R23" s="51">
        <f>SUM(R17:R22)</f>
        <v>19035975</v>
      </c>
      <c r="S23" s="51">
        <f>SUM(S17:S22)</f>
        <v>10907026.689999999</v>
      </c>
      <c r="T23" s="51">
        <f>SUM(T17:T22)</f>
        <v>18907542</v>
      </c>
      <c r="U23" s="78">
        <f t="shared" si="9"/>
        <v>0.57686116418517008</v>
      </c>
      <c r="V23" s="51">
        <f>SUM(V17:V22)</f>
        <v>18205911</v>
      </c>
      <c r="W23" s="51">
        <f>SUM(W17:W22)</f>
        <v>11913068.5</v>
      </c>
      <c r="X23" s="51">
        <f>SUM(X17:X22)</f>
        <v>19899082.66</v>
      </c>
      <c r="Y23" s="78">
        <f t="shared" si="4"/>
        <v>0.59867425567043697</v>
      </c>
      <c r="Z23" s="51">
        <f>SUM(Z17:Z22)</f>
        <v>15215505</v>
      </c>
      <c r="AA23" s="51">
        <f>SUM(AA17:AA22)</f>
        <v>8957902.5400000028</v>
      </c>
      <c r="AB23" s="51">
        <f>SUM(AB17:AB22)</f>
        <v>17250173.280000001</v>
      </c>
      <c r="AC23" s="78">
        <f t="shared" si="5"/>
        <v>0.51929348155510247</v>
      </c>
    </row>
    <row r="24" spans="1:29" ht="22.5" customHeight="1" thickTop="1">
      <c r="J24" s="21"/>
      <c r="K24" s="26"/>
    </row>
    <row r="25" spans="1:29">
      <c r="J25" s="21"/>
      <c r="K25" s="26"/>
      <c r="L25" s="15"/>
    </row>
    <row r="39" spans="1:34">
      <c r="J39" s="65"/>
      <c r="K39" s="65"/>
    </row>
    <row r="40" spans="1:34">
      <c r="J40" s="65"/>
      <c r="K40" s="65"/>
    </row>
    <row r="41" spans="1:34">
      <c r="J41" s="65"/>
      <c r="K41" s="65"/>
    </row>
    <row r="42" spans="1:34">
      <c r="J42" s="65"/>
      <c r="K42" s="65"/>
    </row>
    <row r="43" spans="1:34">
      <c r="J43" s="65"/>
      <c r="K43" s="65"/>
    </row>
    <row r="44" spans="1:34">
      <c r="J44" s="65"/>
      <c r="K44" s="65"/>
    </row>
    <row r="45" spans="1:34">
      <c r="J45" s="65"/>
      <c r="K45" s="65"/>
    </row>
    <row r="46" spans="1:34" ht="33" customHeight="1">
      <c r="A46" s="183" t="s">
        <v>88</v>
      </c>
      <c r="B46" s="183"/>
      <c r="C46" s="183"/>
      <c r="D46" s="183"/>
      <c r="E46" s="183"/>
      <c r="F46" s="183"/>
      <c r="J46" s="65"/>
      <c r="K46" s="65"/>
    </row>
    <row r="47" spans="1:34" ht="12" customHeight="1">
      <c r="B47" s="18"/>
      <c r="C47" s="18"/>
      <c r="D47" s="18"/>
      <c r="E47" s="18"/>
      <c r="J47" s="65"/>
      <c r="K47" s="65"/>
    </row>
    <row r="48" spans="1:34" ht="36" customHeight="1">
      <c r="A48" s="178"/>
      <c r="B48" s="178"/>
      <c r="C48" s="19" t="s">
        <v>154</v>
      </c>
      <c r="D48" s="19" t="s">
        <v>162</v>
      </c>
      <c r="E48" s="19" t="s">
        <v>19</v>
      </c>
      <c r="F48" s="9" t="s">
        <v>91</v>
      </c>
      <c r="G48" s="10">
        <v>0.5</v>
      </c>
      <c r="H48" s="2" t="s">
        <v>32</v>
      </c>
      <c r="K48" s="79" t="s">
        <v>154</v>
      </c>
      <c r="L48" s="75" t="s">
        <v>163</v>
      </c>
      <c r="M48" s="76">
        <v>2012</v>
      </c>
      <c r="N48" s="75" t="s">
        <v>156</v>
      </c>
      <c r="O48" s="79" t="s">
        <v>113</v>
      </c>
      <c r="P48" s="75" t="s">
        <v>164</v>
      </c>
      <c r="Q48" s="76">
        <v>2011</v>
      </c>
      <c r="R48" s="75" t="s">
        <v>115</v>
      </c>
      <c r="S48" s="79" t="s">
        <v>65</v>
      </c>
      <c r="T48" s="75" t="s">
        <v>128</v>
      </c>
      <c r="U48" s="76">
        <v>2010</v>
      </c>
      <c r="V48" s="75" t="s">
        <v>79</v>
      </c>
      <c r="W48" s="75" t="s">
        <v>1</v>
      </c>
      <c r="X48" s="75" t="s">
        <v>127</v>
      </c>
      <c r="Y48" s="76">
        <v>2009</v>
      </c>
      <c r="Z48" s="75" t="s">
        <v>81</v>
      </c>
      <c r="AA48" s="75">
        <v>2009</v>
      </c>
      <c r="AB48" s="75" t="s">
        <v>82</v>
      </c>
      <c r="AC48" s="75" t="s">
        <v>74</v>
      </c>
      <c r="AD48" s="75" t="s">
        <v>165</v>
      </c>
      <c r="AE48" s="76">
        <v>2008</v>
      </c>
      <c r="AF48" s="75" t="s">
        <v>84</v>
      </c>
      <c r="AG48" s="75">
        <v>2008</v>
      </c>
      <c r="AH48" s="75" t="s">
        <v>85</v>
      </c>
    </row>
    <row r="49" spans="1:34" ht="15.75" customHeight="1">
      <c r="A49" s="179" t="s">
        <v>23</v>
      </c>
      <c r="B49" s="180"/>
      <c r="C49" s="11">
        <f t="shared" ref="C49:D51" si="10">K49</f>
        <v>44035</v>
      </c>
      <c r="D49" s="11">
        <f t="shared" si="10"/>
        <v>0</v>
      </c>
      <c r="E49" s="12">
        <f>(D49/C49)</f>
        <v>0</v>
      </c>
      <c r="F49" s="22">
        <f>+G49-D49</f>
        <v>22017.5</v>
      </c>
      <c r="G49" s="23">
        <f>C49*0.5</f>
        <v>22017.5</v>
      </c>
      <c r="H49" s="24">
        <f>C49-D49</f>
        <v>44035</v>
      </c>
      <c r="I49" s="1">
        <v>0.5</v>
      </c>
      <c r="J49" s="65" t="str">
        <f>A49</f>
        <v>Conservation</v>
      </c>
      <c r="K49" s="129">
        <v>44035</v>
      </c>
      <c r="L49" s="129">
        <v>0</v>
      </c>
      <c r="M49" s="131">
        <f>L49/K49</f>
        <v>0</v>
      </c>
      <c r="N49" s="13">
        <f>K49-L49</f>
        <v>44035</v>
      </c>
      <c r="O49" s="129">
        <v>44035</v>
      </c>
      <c r="P49" s="129">
        <v>0</v>
      </c>
      <c r="Q49" s="131">
        <f>P49/O49</f>
        <v>0</v>
      </c>
      <c r="R49" s="13">
        <f>O49-P49</f>
        <v>44035</v>
      </c>
      <c r="S49" s="13">
        <v>44035</v>
      </c>
      <c r="T49" s="13">
        <v>1783.36</v>
      </c>
      <c r="U49" s="80">
        <f>(T49/S49)</f>
        <v>4.0498694220506413E-2</v>
      </c>
      <c r="V49" s="13">
        <f>S49-T49</f>
        <v>42251.64</v>
      </c>
      <c r="W49" s="13">
        <f>'FY 2009 Exp 01-06-10'!C2</f>
        <v>44035</v>
      </c>
      <c r="X49" s="13">
        <v>34213.74</v>
      </c>
      <c r="Y49" s="80">
        <f>X49/W49</f>
        <v>0.77696695810151006</v>
      </c>
      <c r="Z49" s="13">
        <f>'FY 2009 Exp 01-06-10'!D2</f>
        <v>217718</v>
      </c>
      <c r="AA49" s="80">
        <f>X49/Z49</f>
        <v>0.1571470434231437</v>
      </c>
      <c r="AB49" s="13">
        <f>W49-X49</f>
        <v>9821.260000000002</v>
      </c>
      <c r="AC49" s="13">
        <f>'FY 2008 Exp 01-06-10'!C2</f>
        <v>44035</v>
      </c>
      <c r="AD49" s="13">
        <v>22262.080000000002</v>
      </c>
      <c r="AE49" s="80">
        <f>AD49/AC49</f>
        <v>0.50555421823549451</v>
      </c>
      <c r="AF49" s="13">
        <f>'FY 2008 Exp 01-06-10'!D2</f>
        <v>401290</v>
      </c>
      <c r="AG49" s="80">
        <f>AD49/AF49</f>
        <v>5.547628896807795E-2</v>
      </c>
      <c r="AH49" s="13">
        <f>AC49-AD49</f>
        <v>21772.92</v>
      </c>
    </row>
    <row r="50" spans="1:34" ht="15.75" customHeight="1">
      <c r="A50" s="179" t="s">
        <v>102</v>
      </c>
      <c r="B50" s="180"/>
      <c r="C50" s="22">
        <f t="shared" si="10"/>
        <v>19844693</v>
      </c>
      <c r="D50" s="22">
        <f t="shared" si="10"/>
        <v>9006327.4900000002</v>
      </c>
      <c r="E50" s="12">
        <f>(D50/C50)</f>
        <v>0.45384060564706141</v>
      </c>
      <c r="F50" s="22">
        <f>+G50-D50</f>
        <v>916019.00999999978</v>
      </c>
      <c r="G50" s="23">
        <f>C50*0.5</f>
        <v>9922346.5</v>
      </c>
      <c r="H50" s="25">
        <f>C50-D50</f>
        <v>10838365.51</v>
      </c>
      <c r="I50" s="1">
        <v>0.5</v>
      </c>
      <c r="J50" s="65" t="str">
        <f>A50</f>
        <v>Public Transport</v>
      </c>
      <c r="K50" s="129">
        <v>19844693</v>
      </c>
      <c r="L50" s="129">
        <v>9006327.4900000002</v>
      </c>
      <c r="M50" s="131">
        <f>L50/K50</f>
        <v>0.45384060564706141</v>
      </c>
      <c r="N50" s="81">
        <f>K50-L50</f>
        <v>10838365.51</v>
      </c>
      <c r="O50" s="129">
        <v>19188923</v>
      </c>
      <c r="P50" s="129">
        <v>7614979</v>
      </c>
      <c r="Q50" s="131">
        <f>P50/O50</f>
        <v>0.39684243873405506</v>
      </c>
      <c r="R50" s="81">
        <f>O50-P50</f>
        <v>11573944</v>
      </c>
      <c r="S50" s="81">
        <v>19347332</v>
      </c>
      <c r="T50" s="81">
        <v>6630607.8399999999</v>
      </c>
      <c r="U50" s="80">
        <f>(T50/S50)</f>
        <v>0.34271432567549881</v>
      </c>
      <c r="V50" s="81">
        <f>S50-T50</f>
        <v>12716724.16</v>
      </c>
      <c r="W50" s="81">
        <f>'FY 2009 Exp 01-06-10'!C4</f>
        <v>19861346</v>
      </c>
      <c r="X50" s="81">
        <v>6873001.1399999997</v>
      </c>
      <c r="Y50" s="80">
        <f>X50/W50</f>
        <v>0.3460491116765198</v>
      </c>
      <c r="Z50" s="81">
        <f>'FY 2009 Exp 01-06-10'!D4</f>
        <v>23302893</v>
      </c>
      <c r="AA50" s="80">
        <f>X50/Z50</f>
        <v>0.29494196879331674</v>
      </c>
      <c r="AB50" s="13">
        <f>W50-X50</f>
        <v>12988344.859999999</v>
      </c>
      <c r="AC50" s="81">
        <f>'FY 2008 Exp 01-06-10'!C4</f>
        <v>17022879</v>
      </c>
      <c r="AD50" s="81">
        <v>7347501.3100000005</v>
      </c>
      <c r="AE50" s="80">
        <f>AD50/AC50</f>
        <v>0.43162506823904467</v>
      </c>
      <c r="AF50" s="81">
        <f>'FY 2008 Exp 01-06-10'!C4</f>
        <v>17022879</v>
      </c>
      <c r="AG50" s="80">
        <f>AD50/AF50</f>
        <v>0.43162506823904467</v>
      </c>
      <c r="AH50" s="13">
        <f>AC50-AD50</f>
        <v>9675377.6899999995</v>
      </c>
    </row>
    <row r="51" spans="1:34" ht="15.75" customHeight="1" thickBot="1">
      <c r="A51" s="179" t="s">
        <v>24</v>
      </c>
      <c r="B51" s="180"/>
      <c r="C51" s="22">
        <f t="shared" si="10"/>
        <v>0</v>
      </c>
      <c r="D51" s="22">
        <f t="shared" si="10"/>
        <v>0</v>
      </c>
      <c r="E51" s="12">
        <v>0</v>
      </c>
      <c r="F51" s="22">
        <f>+G51-D51</f>
        <v>0</v>
      </c>
      <c r="G51" s="23">
        <f>C51*0.5</f>
        <v>0</v>
      </c>
      <c r="H51" s="25">
        <f>C51-D51</f>
        <v>0</v>
      </c>
      <c r="I51" s="1">
        <v>0.5</v>
      </c>
      <c r="J51" s="65" t="str">
        <f>A51</f>
        <v>Transfers</v>
      </c>
      <c r="K51" s="130">
        <v>0</v>
      </c>
      <c r="L51" s="130">
        <v>0</v>
      </c>
      <c r="M51" s="133" t="e">
        <f>L51/K51</f>
        <v>#DIV/0!</v>
      </c>
      <c r="N51" s="83">
        <f>K51-L51</f>
        <v>0</v>
      </c>
      <c r="O51" s="130">
        <v>0</v>
      </c>
      <c r="P51" s="130">
        <v>0</v>
      </c>
      <c r="Q51" s="133" t="e">
        <f>P51/O51</f>
        <v>#DIV/0!</v>
      </c>
      <c r="R51" s="83">
        <f>O51-P51</f>
        <v>0</v>
      </c>
      <c r="S51" s="83">
        <v>0</v>
      </c>
      <c r="T51" s="83">
        <v>0</v>
      </c>
      <c r="U51" s="77" t="e">
        <f>(T51/S51)</f>
        <v>#DIV/0!</v>
      </c>
      <c r="V51" s="83">
        <f>S51-T51</f>
        <v>0</v>
      </c>
      <c r="W51" s="83">
        <f>'FY 2009 Exp 01-06-10'!C5</f>
        <v>0</v>
      </c>
      <c r="X51" s="83">
        <v>0</v>
      </c>
      <c r="Y51" s="77" t="e">
        <f>X51/W51</f>
        <v>#DIV/0!</v>
      </c>
      <c r="Z51" s="83">
        <f>'FY 2009 Exp 01-06-10'!D5</f>
        <v>433900</v>
      </c>
      <c r="AA51" s="77">
        <f>X51/Z51</f>
        <v>0</v>
      </c>
      <c r="AB51" s="84">
        <f>W51-X51</f>
        <v>0</v>
      </c>
      <c r="AC51" s="83">
        <f>'FY 2008 Exp 01-06-10'!C5</f>
        <v>0</v>
      </c>
      <c r="AD51" s="83">
        <v>0</v>
      </c>
      <c r="AE51" s="77" t="e">
        <f>AD51/AC51</f>
        <v>#DIV/0!</v>
      </c>
      <c r="AF51" s="83">
        <f>'FY 2008 Exp 01-06-10'!C5</f>
        <v>0</v>
      </c>
      <c r="AG51" s="77" t="e">
        <f>AD51/AF51</f>
        <v>#DIV/0!</v>
      </c>
      <c r="AH51" s="84">
        <f>AC51-AD51</f>
        <v>0</v>
      </c>
    </row>
    <row r="52" spans="1:34" ht="15.75" customHeight="1" thickBot="1">
      <c r="A52" s="181" t="s">
        <v>22</v>
      </c>
      <c r="B52" s="182"/>
      <c r="C52" s="20">
        <f>SUM(C49:C51)</f>
        <v>19888728</v>
      </c>
      <c r="D52" s="20">
        <f>SUM(D49:D51)</f>
        <v>9006327.4900000002</v>
      </c>
      <c r="E52" s="12">
        <f>(D52/C52)</f>
        <v>0.45283577159886745</v>
      </c>
      <c r="F52" s="144">
        <f>+G52-D52</f>
        <v>938036.50999999978</v>
      </c>
      <c r="G52" s="23">
        <f>C52*0.5</f>
        <v>9944364</v>
      </c>
      <c r="J52" s="50"/>
      <c r="K52" s="82">
        <f>SUM(K49:K51)</f>
        <v>19888728</v>
      </c>
      <c r="L52" s="82">
        <f>SUM(L49:L51)</f>
        <v>9006327.4900000002</v>
      </c>
      <c r="M52" s="132">
        <f>L52/K52</f>
        <v>0.45283577159886745</v>
      </c>
      <c r="N52" s="82">
        <f>SUM(N49:N51)</f>
        <v>10882400.51</v>
      </c>
      <c r="O52" s="82">
        <f>SUM(O49:O51)</f>
        <v>19232958</v>
      </c>
      <c r="P52" s="82">
        <f>SUM(P49:P51)</f>
        <v>7614979</v>
      </c>
      <c r="Q52" s="132">
        <f>P52/O52</f>
        <v>0.39593384439356649</v>
      </c>
      <c r="R52" s="82">
        <f>SUM(R49:R51)</f>
        <v>11617979</v>
      </c>
      <c r="S52" s="82">
        <f>SUM(S49:S51)</f>
        <v>19391367</v>
      </c>
      <c r="T52" s="82">
        <f>SUM(T49:T51)</f>
        <v>6632391.2000000002</v>
      </c>
      <c r="U52" s="78">
        <f>(T52/S52)</f>
        <v>0.34202803752824645</v>
      </c>
      <c r="V52" s="82">
        <f>SUM(V49:V51)</f>
        <v>12758975.800000001</v>
      </c>
      <c r="W52" s="82">
        <f>SUM(W49:W51)</f>
        <v>19905381</v>
      </c>
      <c r="X52" s="82">
        <f>SUM(X49:X51)</f>
        <v>6907214.8799999999</v>
      </c>
      <c r="Y52" s="78">
        <f>X52/W52</f>
        <v>0.34700239498053315</v>
      </c>
      <c r="Z52" s="82">
        <f>SUM(Z49:Z51)</f>
        <v>23954511</v>
      </c>
      <c r="AA52" s="78">
        <f>X52/Z52</f>
        <v>0.28834714597179628</v>
      </c>
      <c r="AB52" s="82">
        <f>SUM(AB49:AB51)</f>
        <v>12998166.119999999</v>
      </c>
      <c r="AC52" s="82">
        <f>SUM(AC49:AC51)</f>
        <v>17066914</v>
      </c>
      <c r="AD52" s="82">
        <f>SUM(AD49:AD51)</f>
        <v>7369763.3900000006</v>
      </c>
      <c r="AE52" s="78">
        <f>AD52/AC52</f>
        <v>0.4318158156770463</v>
      </c>
      <c r="AF52" s="82">
        <f>SUM(AF49:AF51)</f>
        <v>17424169</v>
      </c>
      <c r="AG52" s="78">
        <f>AD52/AF52</f>
        <v>0.42296211601253414</v>
      </c>
      <c r="AH52" s="82">
        <f>SUM(AH49:AH51)</f>
        <v>9697150.6099999994</v>
      </c>
    </row>
    <row r="53" spans="1:34" ht="15.75" customHeight="1" thickTop="1">
      <c r="A53" s="134"/>
      <c r="B53" s="134"/>
      <c r="C53" s="135"/>
      <c r="D53" s="135"/>
      <c r="E53" s="136"/>
      <c r="F53" s="23"/>
      <c r="G53" s="14"/>
      <c r="J53" s="50"/>
      <c r="K53" s="137"/>
      <c r="L53" s="137"/>
      <c r="M53" s="138"/>
      <c r="N53" s="24"/>
      <c r="O53" s="24"/>
      <c r="P53" s="24"/>
      <c r="Q53" s="136"/>
      <c r="R53" s="24"/>
      <c r="S53" s="24"/>
      <c r="T53" s="24"/>
      <c r="U53" s="136"/>
      <c r="V53" s="24"/>
      <c r="W53" s="136"/>
      <c r="X53" s="24"/>
      <c r="Y53" s="24"/>
      <c r="Z53" s="24"/>
      <c r="AA53" s="136"/>
      <c r="AB53" s="24"/>
      <c r="AC53" s="136"/>
      <c r="AD53" s="24"/>
    </row>
  </sheetData>
  <mergeCells count="17">
    <mergeCell ref="A46:F46"/>
    <mergeCell ref="B3:D3"/>
    <mergeCell ref="A13:F13"/>
    <mergeCell ref="A14:F14"/>
    <mergeCell ref="A16:B16"/>
    <mergeCell ref="A17:B17"/>
    <mergeCell ref="A18:B18"/>
    <mergeCell ref="A19:B19"/>
    <mergeCell ref="A20:B20"/>
    <mergeCell ref="A21:B21"/>
    <mergeCell ref="A22:B22"/>
    <mergeCell ref="A23:B23"/>
    <mergeCell ref="A48:B48"/>
    <mergeCell ref="A49:B49"/>
    <mergeCell ref="A50:B50"/>
    <mergeCell ref="A51:B51"/>
    <mergeCell ref="A52:B52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80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2"/>
  <sheetViews>
    <sheetView topLeftCell="A4" zoomScale="90" zoomScaleNormal="90" workbookViewId="0">
      <selection activeCell="Q28" sqref="Q28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7.125" style="2" customWidth="1"/>
    <col min="6" max="6" width="19.1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2.5" style="2" bestFit="1" customWidth="1"/>
    <col min="12" max="12" width="10.25" style="2" bestFit="1" customWidth="1"/>
    <col min="13" max="14" width="11.5" style="2" customWidth="1"/>
    <col min="15" max="15" width="11.125" style="2" bestFit="1" customWidth="1"/>
    <col min="16" max="16" width="13.25" style="2" bestFit="1" customWidth="1"/>
    <col min="17" max="17" width="12.75" style="2" customWidth="1"/>
    <col min="18" max="18" width="12.5" style="2" bestFit="1" customWidth="1"/>
    <col min="19" max="19" width="11.25" style="2" customWidth="1"/>
    <col min="20" max="20" width="12.5" style="2" bestFit="1" customWidth="1"/>
    <col min="21" max="21" width="11.125" style="2" bestFit="1" customWidth="1"/>
    <col min="22" max="22" width="15.875" style="2" customWidth="1"/>
    <col min="23" max="23" width="10.75" style="2" customWidth="1"/>
    <col min="24" max="24" width="13.625" style="2" customWidth="1"/>
    <col min="25" max="25" width="11.875" style="2" customWidth="1"/>
    <col min="26" max="26" width="12.5" style="2" bestFit="1" customWidth="1"/>
    <col min="27" max="27" width="11.5" style="2" customWidth="1"/>
    <col min="28" max="28" width="11" style="2" customWidth="1"/>
    <col min="29" max="29" width="9" style="2"/>
    <col min="30" max="30" width="14" style="2" customWidth="1"/>
    <col min="31" max="16384" width="9" style="2"/>
  </cols>
  <sheetData>
    <row r="1" spans="1:29" ht="15.95" customHeight="1">
      <c r="E1" s="3"/>
      <c r="F1" s="3" t="s">
        <v>17</v>
      </c>
    </row>
    <row r="2" spans="1:29" ht="15.95" customHeight="1">
      <c r="E2" s="3"/>
      <c r="F2" s="3" t="s">
        <v>36</v>
      </c>
    </row>
    <row r="3" spans="1:29" ht="15.95" customHeight="1">
      <c r="B3" s="175" t="s">
        <v>30</v>
      </c>
      <c r="C3" s="175"/>
      <c r="D3" s="175"/>
      <c r="E3" s="3"/>
      <c r="F3" s="3" t="s">
        <v>37</v>
      </c>
    </row>
    <row r="4" spans="1:29" ht="15.95" customHeight="1">
      <c r="E4" s="3"/>
      <c r="F4" s="3" t="s">
        <v>38</v>
      </c>
    </row>
    <row r="5" spans="1:29" ht="15.95" customHeight="1">
      <c r="E5" s="3"/>
      <c r="F5" s="3" t="s">
        <v>18</v>
      </c>
    </row>
    <row r="6" spans="1:29" ht="15.75">
      <c r="A6" s="4"/>
      <c r="B6" s="4"/>
      <c r="C6" s="4"/>
      <c r="D6" s="5"/>
      <c r="E6" s="5"/>
      <c r="F6" s="4"/>
    </row>
    <row r="7" spans="1:29" ht="15.75">
      <c r="D7" s="3"/>
      <c r="E7" s="3"/>
    </row>
    <row r="8" spans="1:29" ht="19.5" customHeight="1">
      <c r="A8" s="6" t="s">
        <v>25</v>
      </c>
      <c r="B8" s="7" t="s">
        <v>26</v>
      </c>
    </row>
    <row r="9" spans="1:29" ht="19.5" customHeight="1">
      <c r="A9" s="6" t="s">
        <v>27</v>
      </c>
      <c r="B9" s="7" t="s">
        <v>64</v>
      </c>
    </row>
    <row r="10" spans="1:29" ht="19.5" customHeight="1">
      <c r="A10" s="6" t="s">
        <v>28</v>
      </c>
      <c r="B10" s="8">
        <v>40923</v>
      </c>
    </row>
    <row r="11" spans="1:29" ht="19.5" customHeight="1">
      <c r="A11" s="6" t="s">
        <v>29</v>
      </c>
      <c r="B11" s="7" t="s">
        <v>148</v>
      </c>
    </row>
    <row r="12" spans="1:29" ht="19.5" customHeight="1">
      <c r="A12" s="6"/>
      <c r="B12" s="7"/>
    </row>
    <row r="13" spans="1:29" ht="30.75" customHeight="1">
      <c r="A13" s="184"/>
      <c r="B13" s="184"/>
      <c r="C13" s="184"/>
      <c r="D13" s="184"/>
      <c r="E13" s="184"/>
      <c r="F13" s="184"/>
    </row>
    <row r="14" spans="1:29" ht="31.5" customHeight="1">
      <c r="A14" s="183" t="s">
        <v>87</v>
      </c>
      <c r="B14" s="183"/>
      <c r="C14" s="183"/>
      <c r="D14" s="183"/>
      <c r="E14" s="183"/>
      <c r="F14" s="183"/>
    </row>
    <row r="15" spans="1:29">
      <c r="K15" s="64"/>
      <c r="L15" s="64"/>
      <c r="M15" s="64"/>
      <c r="N15" s="64"/>
    </row>
    <row r="16" spans="1:29" ht="38.25">
      <c r="A16" s="185"/>
      <c r="B16" s="185"/>
      <c r="C16" s="9" t="s">
        <v>154</v>
      </c>
      <c r="D16" s="9" t="s">
        <v>155</v>
      </c>
      <c r="E16" s="9" t="s">
        <v>19</v>
      </c>
      <c r="F16" s="9" t="s">
        <v>9</v>
      </c>
      <c r="G16" s="10">
        <v>0.25</v>
      </c>
      <c r="H16" s="2" t="s">
        <v>31</v>
      </c>
      <c r="I16" s="10">
        <v>0.25</v>
      </c>
      <c r="K16" s="9" t="s">
        <v>152</v>
      </c>
      <c r="L16" s="9" t="s">
        <v>153</v>
      </c>
      <c r="M16" s="9">
        <v>2012</v>
      </c>
      <c r="N16" s="9" t="s">
        <v>110</v>
      </c>
      <c r="O16" s="9" t="s">
        <v>151</v>
      </c>
      <c r="P16" s="9" t="s">
        <v>150</v>
      </c>
      <c r="Q16" s="9">
        <v>2011</v>
      </c>
      <c r="R16" s="9" t="s">
        <v>65</v>
      </c>
      <c r="S16" s="9" t="s">
        <v>112</v>
      </c>
      <c r="T16" s="9" t="s">
        <v>149</v>
      </c>
      <c r="U16" s="9">
        <v>2010</v>
      </c>
      <c r="V16" s="9" t="s">
        <v>1</v>
      </c>
      <c r="W16" s="9" t="s">
        <v>73</v>
      </c>
      <c r="X16" s="9" t="s">
        <v>76</v>
      </c>
      <c r="Y16" s="9">
        <v>2009</v>
      </c>
      <c r="Z16" s="9" t="s">
        <v>74</v>
      </c>
      <c r="AA16" s="9" t="s">
        <v>75</v>
      </c>
      <c r="AB16" s="9" t="s">
        <v>77</v>
      </c>
      <c r="AC16" s="9">
        <v>2008</v>
      </c>
    </row>
    <row r="17" spans="1:29" ht="15.75" customHeight="1">
      <c r="A17" s="186" t="s">
        <v>20</v>
      </c>
      <c r="B17" s="186"/>
      <c r="C17" s="11">
        <f t="shared" ref="C17:D22" si="0">K17</f>
        <v>2160925</v>
      </c>
      <c r="D17" s="11">
        <f t="shared" si="0"/>
        <v>951311</v>
      </c>
      <c r="E17" s="12">
        <f t="shared" ref="E17:E23" si="1">(D17/C17)</f>
        <v>0.44023323345326654</v>
      </c>
      <c r="F17" s="29">
        <f t="shared" ref="F17:F22" si="2">D17-G17</f>
        <v>411079.75</v>
      </c>
      <c r="G17" s="14">
        <f t="shared" ref="G17:G23" si="3">C17*0.25</f>
        <v>540231.25</v>
      </c>
      <c r="H17" s="15">
        <f t="shared" ref="H17:H22" si="4">C17-D17</f>
        <v>1209614</v>
      </c>
      <c r="I17" s="10">
        <v>0.25</v>
      </c>
      <c r="J17" s="21" t="str">
        <f t="shared" ref="J17:J22" si="5">A17</f>
        <v>Current / Delinquent Taxes</v>
      </c>
      <c r="K17" s="129">
        <v>2160925</v>
      </c>
      <c r="L17" s="129">
        <v>951311</v>
      </c>
      <c r="M17" s="141">
        <f>L17/K17</f>
        <v>0.44023323345326654</v>
      </c>
      <c r="N17" s="129">
        <v>0</v>
      </c>
      <c r="O17" s="129">
        <v>0</v>
      </c>
      <c r="P17" s="11">
        <v>0</v>
      </c>
      <c r="Q17" s="140" t="e">
        <f>O17/P17</f>
        <v>#DIV/0!</v>
      </c>
      <c r="R17" s="11">
        <v>4337995</v>
      </c>
      <c r="S17" s="11">
        <v>2345427.7200000002</v>
      </c>
      <c r="T17" s="11">
        <v>4339903</v>
      </c>
      <c r="U17" s="12">
        <f>S17/T17</f>
        <v>0.54043321244737508</v>
      </c>
      <c r="V17" s="11">
        <f>'FY 2009 Rev 01-15-10'!E3</f>
        <v>4070011</v>
      </c>
      <c r="W17" s="11">
        <f>SUM('FY 2009 Rev 01-15-10'!F3:H3)</f>
        <v>1852124.09</v>
      </c>
      <c r="X17" s="11">
        <f>'FY 2009 Rev 01-15-10'!D3</f>
        <v>4095648.34</v>
      </c>
      <c r="Y17" s="12">
        <f t="shared" ref="Y17:Y23" si="6">W17/X17</f>
        <v>0.45221755781894113</v>
      </c>
      <c r="Z17" s="11">
        <f>'FY 2008 Rev 01-15-10'!E3</f>
        <v>762480</v>
      </c>
      <c r="AA17" s="11">
        <f>SUM('FY 2008 Rev 01-15-10'!F3:H3)</f>
        <v>360149.9</v>
      </c>
      <c r="AB17" s="11">
        <f>'FY 2008 Rev 01-15-10'!D3</f>
        <v>788839.59</v>
      </c>
      <c r="AC17" s="12">
        <f t="shared" ref="AC17:AC23" si="7">AA17/AB17</f>
        <v>0.45655657318112042</v>
      </c>
    </row>
    <row r="18" spans="1:29" ht="15.75" customHeight="1">
      <c r="A18" s="186" t="s">
        <v>66</v>
      </c>
      <c r="B18" s="186"/>
      <c r="C18" s="22">
        <f t="shared" si="0"/>
        <v>1300</v>
      </c>
      <c r="D18" s="22">
        <f t="shared" si="0"/>
        <v>252</v>
      </c>
      <c r="E18" s="12">
        <f t="shared" si="1"/>
        <v>0.19384615384615383</v>
      </c>
      <c r="F18" s="22">
        <f>D18-G18</f>
        <v>-73</v>
      </c>
      <c r="G18" s="14">
        <f t="shared" si="3"/>
        <v>325</v>
      </c>
      <c r="H18" s="15">
        <f t="shared" si="4"/>
        <v>1048</v>
      </c>
      <c r="I18" s="10">
        <v>0.25</v>
      </c>
      <c r="J18" s="21" t="str">
        <f t="shared" si="5"/>
        <v>License / Permits</v>
      </c>
      <c r="K18" s="129">
        <v>1300</v>
      </c>
      <c r="L18" s="129">
        <v>252</v>
      </c>
      <c r="M18" s="141">
        <f t="shared" ref="M18:M23" si="8">L18/K18</f>
        <v>0.19384615384615383</v>
      </c>
      <c r="N18" s="129">
        <v>2000</v>
      </c>
      <c r="O18" s="129">
        <v>234</v>
      </c>
      <c r="P18" s="28">
        <v>1431</v>
      </c>
      <c r="Q18" s="141">
        <f t="shared" ref="Q18:Q23" si="9">O18/P18</f>
        <v>0.16352201257861634</v>
      </c>
      <c r="R18" s="16">
        <v>1854</v>
      </c>
      <c r="S18" s="28">
        <v>360</v>
      </c>
      <c r="T18" s="28">
        <v>1656</v>
      </c>
      <c r="U18" s="12">
        <f t="shared" ref="U18:U23" si="10">S18/T18</f>
        <v>0.21739130434782608</v>
      </c>
      <c r="V18" s="28">
        <f>'FY 2009 Rev 01-15-10'!E5</f>
        <v>3000</v>
      </c>
      <c r="W18" s="28">
        <f>SUM('FY 2009 Rev 01-15-10'!F5:H5)</f>
        <v>621</v>
      </c>
      <c r="X18" s="28">
        <f>'FY 2009 Rev 01-15-10'!D5</f>
        <v>1476</v>
      </c>
      <c r="Y18" s="12">
        <f t="shared" si="6"/>
        <v>0.42073170731707316</v>
      </c>
      <c r="Z18" s="28">
        <f>'FY 2008 Rev 01-15-10'!E5</f>
        <v>7500</v>
      </c>
      <c r="AA18" s="28">
        <f>SUM('FY 2008 Rev 01-15-10'!F5:H5)</f>
        <v>504</v>
      </c>
      <c r="AB18" s="28">
        <f>'FY 2008 Rev 01-15-10'!D5</f>
        <v>3209</v>
      </c>
      <c r="AC18" s="12">
        <f t="shared" si="7"/>
        <v>0.15705827360548458</v>
      </c>
    </row>
    <row r="19" spans="1:29" ht="24.75" customHeight="1">
      <c r="A19" s="186" t="s">
        <v>2</v>
      </c>
      <c r="B19" s="186"/>
      <c r="C19" s="22">
        <f t="shared" si="0"/>
        <v>13214500</v>
      </c>
      <c r="D19" s="22">
        <f t="shared" si="0"/>
        <v>1643013</v>
      </c>
      <c r="E19" s="12">
        <f t="shared" si="1"/>
        <v>0.12433410269022664</v>
      </c>
      <c r="F19" s="22">
        <f t="shared" si="2"/>
        <v>-1660612</v>
      </c>
      <c r="G19" s="27">
        <f t="shared" si="3"/>
        <v>3303625</v>
      </c>
      <c r="H19" s="27">
        <f t="shared" si="4"/>
        <v>11571487</v>
      </c>
      <c r="I19" s="10">
        <v>0.25</v>
      </c>
      <c r="J19" s="21" t="str">
        <f t="shared" si="5"/>
        <v>Fees/Charges for Services</v>
      </c>
      <c r="K19" s="129">
        <v>13214500</v>
      </c>
      <c r="L19" s="129">
        <v>1643013</v>
      </c>
      <c r="M19" s="141">
        <f t="shared" si="8"/>
        <v>0.12433410269022664</v>
      </c>
      <c r="N19" s="129">
        <v>13169000</v>
      </c>
      <c r="O19" s="129">
        <f>119354+1504308</f>
        <v>1623662</v>
      </c>
      <c r="P19" s="28">
        <v>13131612</v>
      </c>
      <c r="Q19" s="141">
        <f t="shared" si="9"/>
        <v>0.12364529198700053</v>
      </c>
      <c r="R19" s="16">
        <v>12094490</v>
      </c>
      <c r="S19" s="28">
        <v>1527967.71</v>
      </c>
      <c r="T19" s="28">
        <v>12252721</v>
      </c>
      <c r="U19" s="12">
        <f t="shared" si="10"/>
        <v>0.12470435832171482</v>
      </c>
      <c r="V19" s="28">
        <f>'FY 2009 Rev 01-15-10'!E10</f>
        <v>11806400</v>
      </c>
      <c r="W19" s="28">
        <f>SUM('FY 2009 Rev 01-15-10'!F10:H10)</f>
        <v>1444413.2000000002</v>
      </c>
      <c r="X19" s="28">
        <f>'FY 2009 Rev 01-15-10'!D10</f>
        <v>13237833.390000001</v>
      </c>
      <c r="Y19" s="12">
        <f t="shared" si="6"/>
        <v>0.1091125078739188</v>
      </c>
      <c r="Z19" s="28">
        <f>'FY 2008 Rev 01-15-10'!E10</f>
        <v>11740700</v>
      </c>
      <c r="AA19" s="28">
        <f>SUM('FY 2008 Rev 01-15-10'!F10:H10)</f>
        <v>1391161.49</v>
      </c>
      <c r="AB19" s="28">
        <f>'FY 2008 Rev 01-15-10'!D10</f>
        <v>13297241.34</v>
      </c>
      <c r="AC19" s="12">
        <f t="shared" si="7"/>
        <v>0.1046203084105263</v>
      </c>
    </row>
    <row r="20" spans="1:29" ht="15.75" customHeight="1">
      <c r="A20" s="186" t="s">
        <v>4</v>
      </c>
      <c r="B20" s="186"/>
      <c r="C20" s="22">
        <f t="shared" si="0"/>
        <v>1741500</v>
      </c>
      <c r="D20" s="22">
        <f t="shared" si="0"/>
        <v>110993</v>
      </c>
      <c r="E20" s="12">
        <f t="shared" si="1"/>
        <v>6.3734137238013203E-2</v>
      </c>
      <c r="F20" s="22">
        <f t="shared" si="2"/>
        <v>-324382</v>
      </c>
      <c r="G20" s="27">
        <f t="shared" si="3"/>
        <v>435375</v>
      </c>
      <c r="H20" s="27">
        <f t="shared" si="4"/>
        <v>1630507</v>
      </c>
      <c r="I20" s="10">
        <v>0.25</v>
      </c>
      <c r="J20" s="21" t="str">
        <f t="shared" si="5"/>
        <v>Fines</v>
      </c>
      <c r="K20" s="129">
        <v>1741500</v>
      </c>
      <c r="L20" s="129">
        <v>110993</v>
      </c>
      <c r="M20" s="141">
        <f t="shared" si="8"/>
        <v>6.3734137238013203E-2</v>
      </c>
      <c r="N20" s="129">
        <v>2066000</v>
      </c>
      <c r="O20" s="129">
        <v>316585</v>
      </c>
      <c r="P20" s="28">
        <v>1819075</v>
      </c>
      <c r="Q20" s="141">
        <f t="shared" si="9"/>
        <v>0.1740362546898836</v>
      </c>
      <c r="R20" s="16">
        <v>2295355</v>
      </c>
      <c r="S20" s="28">
        <v>472934.6</v>
      </c>
      <c r="T20" s="28">
        <v>2025223</v>
      </c>
      <c r="U20" s="12">
        <f t="shared" si="10"/>
        <v>0.23352223434160088</v>
      </c>
      <c r="V20" s="28">
        <f>'FY 2009 Rev 01-15-10'!E12</f>
        <v>1904500</v>
      </c>
      <c r="W20" s="28">
        <f>SUM('FY 2009 Rev 01-15-10'!F12:H12)</f>
        <v>511304.98</v>
      </c>
      <c r="X20" s="28">
        <f>'FY 2009 Rev 01-15-10'!D12</f>
        <v>2213669.08</v>
      </c>
      <c r="Y20" s="12">
        <f t="shared" si="6"/>
        <v>0.2309762487173557</v>
      </c>
      <c r="Z20" s="28">
        <f>'FY 2008 Rev 01-15-10'!E12</f>
        <v>2042325</v>
      </c>
      <c r="AA20" s="28">
        <f>SUM('FY 2008 Rev 01-15-10'!F12:H12)</f>
        <v>231450.84000000003</v>
      </c>
      <c r="AB20" s="28">
        <f>'FY 2008 Rev 01-15-10'!D12</f>
        <v>2340429.91</v>
      </c>
      <c r="AC20" s="12">
        <f t="shared" si="7"/>
        <v>9.8892446644556861E-2</v>
      </c>
    </row>
    <row r="21" spans="1:29" ht="15.75" customHeight="1">
      <c r="A21" s="186" t="s">
        <v>3</v>
      </c>
      <c r="B21" s="186"/>
      <c r="C21" s="22">
        <f t="shared" si="0"/>
        <v>180000</v>
      </c>
      <c r="D21" s="22">
        <f t="shared" si="0"/>
        <v>33495</v>
      </c>
      <c r="E21" s="12">
        <f t="shared" si="1"/>
        <v>0.18608333333333332</v>
      </c>
      <c r="F21" s="22">
        <f t="shared" si="2"/>
        <v>-11505</v>
      </c>
      <c r="G21" s="26">
        <f t="shared" si="3"/>
        <v>45000</v>
      </c>
      <c r="H21" s="27">
        <f t="shared" si="4"/>
        <v>146505</v>
      </c>
      <c r="I21" s="10">
        <v>0.25</v>
      </c>
      <c r="J21" s="21" t="str">
        <f t="shared" si="5"/>
        <v>Investment Revenue</v>
      </c>
      <c r="K21" s="129">
        <v>180000</v>
      </c>
      <c r="L21" s="129">
        <v>33495</v>
      </c>
      <c r="M21" s="141">
        <f t="shared" si="8"/>
        <v>0.18608333333333332</v>
      </c>
      <c r="N21" s="129">
        <v>120000</v>
      </c>
      <c r="O21" s="129">
        <v>58080</v>
      </c>
      <c r="P21" s="28">
        <v>194336</v>
      </c>
      <c r="Q21" s="141">
        <f t="shared" si="9"/>
        <v>0.29886382348098139</v>
      </c>
      <c r="R21" s="16">
        <v>280881</v>
      </c>
      <c r="S21" s="28">
        <v>58015.57</v>
      </c>
      <c r="T21" s="28">
        <v>222534</v>
      </c>
      <c r="U21" s="12">
        <f t="shared" si="10"/>
        <v>0.26070429687148927</v>
      </c>
      <c r="V21" s="28">
        <f>'FY 2009 Rev 01-15-10'!E14</f>
        <v>305000</v>
      </c>
      <c r="W21" s="28">
        <f>SUM('FY 2009 Rev 01-15-10'!F14:H14)</f>
        <v>73046.83</v>
      </c>
      <c r="X21" s="28">
        <f>'FY 2009 Rev 01-15-10'!D14</f>
        <v>284617.61</v>
      </c>
      <c r="Y21" s="12">
        <f t="shared" si="6"/>
        <v>0.25664901760646508</v>
      </c>
      <c r="Z21" s="28">
        <f>'FY 2008 Rev 01-15-10'!E14</f>
        <v>572500</v>
      </c>
      <c r="AA21" s="28">
        <f>SUM('FY 2008 Rev 01-15-10'!F14:H14)</f>
        <v>112324.09</v>
      </c>
      <c r="AB21" s="28">
        <f>'FY 2008 Rev 01-15-10'!D14</f>
        <v>457042.89</v>
      </c>
      <c r="AC21" s="12">
        <f t="shared" si="7"/>
        <v>0.24576268979920024</v>
      </c>
    </row>
    <row r="22" spans="1:29" ht="15.75" customHeight="1" thickBot="1">
      <c r="A22" s="186" t="s">
        <v>21</v>
      </c>
      <c r="B22" s="186"/>
      <c r="C22" s="22">
        <f t="shared" si="0"/>
        <v>15000</v>
      </c>
      <c r="D22" s="22">
        <f t="shared" si="0"/>
        <v>2019</v>
      </c>
      <c r="E22" s="12">
        <f t="shared" si="1"/>
        <v>0.1346</v>
      </c>
      <c r="F22" s="22">
        <f t="shared" si="2"/>
        <v>-1731</v>
      </c>
      <c r="G22" s="27">
        <f t="shared" si="3"/>
        <v>3750</v>
      </c>
      <c r="H22" s="27">
        <f t="shared" si="4"/>
        <v>12981</v>
      </c>
      <c r="I22" s="10">
        <v>0.25</v>
      </c>
      <c r="J22" s="21" t="str">
        <f t="shared" si="5"/>
        <v>Miscellaneous</v>
      </c>
      <c r="K22" s="130">
        <v>15000</v>
      </c>
      <c r="L22" s="130">
        <f>2019</f>
        <v>2019</v>
      </c>
      <c r="M22" s="142">
        <f t="shared" si="8"/>
        <v>0.1346</v>
      </c>
      <c r="N22" s="130">
        <f>15000+10000</f>
        <v>25000</v>
      </c>
      <c r="O22" s="130">
        <v>2530</v>
      </c>
      <c r="P22" s="53">
        <f>49000+9304</f>
        <v>58304</v>
      </c>
      <c r="Q22" s="142">
        <f t="shared" si="9"/>
        <v>4.3393249176728869E-2</v>
      </c>
      <c r="R22" s="52">
        <v>25400</v>
      </c>
      <c r="S22" s="53">
        <v>15398.05</v>
      </c>
      <c r="T22" s="53">
        <f>11655+53850</f>
        <v>65505</v>
      </c>
      <c r="U22" s="77">
        <f t="shared" si="10"/>
        <v>0.23506678879474849</v>
      </c>
      <c r="V22" s="53">
        <f>'FY 2009 Rev 01-15-10'!E16+'FY 2009 Rev 01-15-10'!E18+'FY 2009 Rev 01-15-10'!E20</f>
        <v>117000</v>
      </c>
      <c r="W22" s="53">
        <f>SUM('FY 2009 Rev 01-15-10'!F16:H16,'FY 2009 Rev 01-15-10'!F18:H18,'FY 2009 Rev 01-15-10'!F20:H20)</f>
        <v>1817.58</v>
      </c>
      <c r="X22" s="53">
        <f>'FY 2009 Rev 01-15-10'!D16+'FY 2009 Rev 01-15-10'!D18+'FY 2009 Rev 01-15-10'!D20</f>
        <v>65838.240000000005</v>
      </c>
      <c r="Y22" s="77">
        <f t="shared" si="6"/>
        <v>2.7606752549885899E-2</v>
      </c>
      <c r="Z22" s="53">
        <f>'FY 2008 Rev 01-15-10'!E16+'FY 2008 Rev 01-15-10'!E18+'FY 2008 Rev 01-15-10'!E20</f>
        <v>90000</v>
      </c>
      <c r="AA22" s="53">
        <f>SUM('FY 2008 Rev 01-15-10'!F16:H16,'FY 2008 Rev 01-15-10'!F18:H18,'FY 2008 Rev 01-15-10'!F20:H20)</f>
        <v>270281.63</v>
      </c>
      <c r="AB22" s="53">
        <f>'FY 2008 Rev 01-15-10'!D16+'FY 2008 Rev 01-15-10'!D18+'FY 2008 Rev 01-15-10'!D20</f>
        <v>363410.55000000005</v>
      </c>
      <c r="AC22" s="77">
        <f t="shared" si="7"/>
        <v>0.74373633346637835</v>
      </c>
    </row>
    <row r="23" spans="1:29" ht="15.75" customHeight="1" thickBot="1">
      <c r="A23" s="187" t="s">
        <v>22</v>
      </c>
      <c r="B23" s="187"/>
      <c r="C23" s="11">
        <f>SUM(C17:C22)</f>
        <v>17313225</v>
      </c>
      <c r="D23" s="11">
        <f>SUM(D17:D22)</f>
        <v>2741083</v>
      </c>
      <c r="E23" s="12">
        <f t="shared" si="1"/>
        <v>0.15832307383517513</v>
      </c>
      <c r="F23" s="17">
        <f>SUM(F17:F22)</f>
        <v>-1587223.25</v>
      </c>
      <c r="G23" s="27">
        <f t="shared" si="3"/>
        <v>4328306.25</v>
      </c>
      <c r="H23" s="27"/>
      <c r="J23" s="21"/>
      <c r="K23" s="128">
        <f>SUM(K17:K22)</f>
        <v>17313225</v>
      </c>
      <c r="L23" s="51">
        <f>SUM(L17:L22)</f>
        <v>2741083</v>
      </c>
      <c r="M23" s="143">
        <f t="shared" si="8"/>
        <v>0.15832307383517513</v>
      </c>
      <c r="N23" s="128">
        <f>SUM(N17:N22)</f>
        <v>15382000</v>
      </c>
      <c r="O23" s="51">
        <f>SUM(O17:O22)</f>
        <v>2001091</v>
      </c>
      <c r="P23" s="51">
        <f>SUM(P17:P22)</f>
        <v>15204758</v>
      </c>
      <c r="Q23" s="143">
        <f t="shared" si="9"/>
        <v>0.13160952643902651</v>
      </c>
      <c r="R23" s="51">
        <f>SUM(R17:R22)</f>
        <v>19035975</v>
      </c>
      <c r="S23" s="51">
        <f>SUM(S17:S22)</f>
        <v>4420103.6500000004</v>
      </c>
      <c r="T23" s="51">
        <f>SUM(T17:T22)</f>
        <v>18907542</v>
      </c>
      <c r="U23" s="78">
        <f t="shared" si="10"/>
        <v>0.23377463077961166</v>
      </c>
      <c r="V23" s="51">
        <f>SUM(V17:V22)</f>
        <v>18205911</v>
      </c>
      <c r="W23" s="51">
        <f>SUM(W17:W22)</f>
        <v>3883327.68</v>
      </c>
      <c r="X23" s="51">
        <f>SUM(X17:X22)</f>
        <v>19899082.66</v>
      </c>
      <c r="Y23" s="78">
        <f t="shared" si="6"/>
        <v>0.19515109044730206</v>
      </c>
      <c r="Z23" s="51">
        <f>SUM(Z17:Z22)</f>
        <v>15215505</v>
      </c>
      <c r="AA23" s="51">
        <f>SUM(AA17:AA22)</f>
        <v>2365871.9500000002</v>
      </c>
      <c r="AB23" s="51">
        <f>SUM(AB17:AB22)</f>
        <v>17250173.280000001</v>
      </c>
      <c r="AC23" s="78">
        <f t="shared" si="7"/>
        <v>0.1371506193936621</v>
      </c>
    </row>
    <row r="24" spans="1:29" ht="22.5" customHeight="1" thickTop="1">
      <c r="J24" s="21"/>
      <c r="K24" s="26"/>
    </row>
    <row r="25" spans="1:29">
      <c r="J25" s="21"/>
      <c r="K25" s="26"/>
      <c r="L25" s="15"/>
    </row>
    <row r="39" spans="1:34">
      <c r="J39" s="65"/>
      <c r="K39" s="65"/>
    </row>
    <row r="40" spans="1:34">
      <c r="J40" s="65"/>
      <c r="K40" s="65"/>
    </row>
    <row r="41" spans="1:34">
      <c r="J41" s="65"/>
      <c r="K41" s="65"/>
    </row>
    <row r="42" spans="1:34">
      <c r="J42" s="65"/>
      <c r="K42" s="65"/>
    </row>
    <row r="43" spans="1:34">
      <c r="J43" s="65"/>
      <c r="K43" s="65"/>
    </row>
    <row r="44" spans="1:34">
      <c r="J44" s="65"/>
      <c r="K44" s="65"/>
    </row>
    <row r="45" spans="1:34" ht="33" customHeight="1">
      <c r="A45" s="183" t="s">
        <v>88</v>
      </c>
      <c r="B45" s="183"/>
      <c r="C45" s="183"/>
      <c r="D45" s="183"/>
      <c r="E45" s="183"/>
      <c r="F45" s="183"/>
      <c r="J45" s="65"/>
      <c r="K45" s="65"/>
    </row>
    <row r="46" spans="1:34" ht="12" customHeight="1">
      <c r="B46" s="18"/>
      <c r="C46" s="18"/>
      <c r="D46" s="18"/>
      <c r="E46" s="18"/>
      <c r="J46" s="65"/>
      <c r="K46" s="65"/>
    </row>
    <row r="47" spans="1:34" ht="36" customHeight="1">
      <c r="A47" s="178"/>
      <c r="B47" s="178"/>
      <c r="C47" s="19" t="s">
        <v>154</v>
      </c>
      <c r="D47" s="19" t="s">
        <v>159</v>
      </c>
      <c r="E47" s="19" t="s">
        <v>19</v>
      </c>
      <c r="F47" s="9" t="s">
        <v>9</v>
      </c>
      <c r="G47" s="10">
        <v>0.25</v>
      </c>
      <c r="H47" s="2" t="s">
        <v>32</v>
      </c>
      <c r="K47" s="79" t="s">
        <v>154</v>
      </c>
      <c r="L47" s="75" t="s">
        <v>158</v>
      </c>
      <c r="M47" s="76">
        <v>2012</v>
      </c>
      <c r="N47" s="75" t="s">
        <v>156</v>
      </c>
      <c r="O47" s="79" t="s">
        <v>113</v>
      </c>
      <c r="P47" s="75" t="s">
        <v>157</v>
      </c>
      <c r="Q47" s="76">
        <v>2011</v>
      </c>
      <c r="R47" s="75" t="s">
        <v>115</v>
      </c>
      <c r="S47" s="79" t="s">
        <v>65</v>
      </c>
      <c r="T47" s="75" t="s">
        <v>116</v>
      </c>
      <c r="U47" s="76">
        <v>2010</v>
      </c>
      <c r="V47" s="75" t="s">
        <v>79</v>
      </c>
      <c r="W47" s="75" t="s">
        <v>1</v>
      </c>
      <c r="X47" s="75" t="s">
        <v>80</v>
      </c>
      <c r="Y47" s="76">
        <v>2009</v>
      </c>
      <c r="Z47" s="75" t="s">
        <v>81</v>
      </c>
      <c r="AA47" s="75">
        <v>2009</v>
      </c>
      <c r="AB47" s="75" t="s">
        <v>82</v>
      </c>
      <c r="AC47" s="75" t="s">
        <v>74</v>
      </c>
      <c r="AD47" s="75" t="s">
        <v>83</v>
      </c>
      <c r="AE47" s="76">
        <v>2008</v>
      </c>
      <c r="AF47" s="75" t="s">
        <v>84</v>
      </c>
      <c r="AG47" s="75">
        <v>2008</v>
      </c>
      <c r="AH47" s="75" t="s">
        <v>85</v>
      </c>
    </row>
    <row r="48" spans="1:34" ht="15.75" customHeight="1">
      <c r="A48" s="179" t="s">
        <v>23</v>
      </c>
      <c r="B48" s="180"/>
      <c r="C48" s="11">
        <f t="shared" ref="C48:D50" si="11">K48</f>
        <v>44035</v>
      </c>
      <c r="D48" s="11">
        <f t="shared" si="11"/>
        <v>0</v>
      </c>
      <c r="E48" s="12">
        <f>(D48/C48)</f>
        <v>0</v>
      </c>
      <c r="F48" s="22">
        <f>+G48-D48</f>
        <v>11008.75</v>
      </c>
      <c r="G48" s="23">
        <f>C48*0.25</f>
        <v>11008.75</v>
      </c>
      <c r="H48" s="24">
        <f>C48-D48</f>
        <v>44035</v>
      </c>
      <c r="I48" s="1">
        <v>0.25</v>
      </c>
      <c r="J48" s="65" t="str">
        <f>A48</f>
        <v>Conservation</v>
      </c>
      <c r="K48" s="129">
        <v>44035</v>
      </c>
      <c r="L48" s="129">
        <v>0</v>
      </c>
      <c r="M48" s="131">
        <f>L48/K48</f>
        <v>0</v>
      </c>
      <c r="N48" s="13">
        <f>K48-L48</f>
        <v>44035</v>
      </c>
      <c r="O48" s="129">
        <v>44035</v>
      </c>
      <c r="P48" s="129">
        <v>0</v>
      </c>
      <c r="Q48" s="131">
        <f>P48/O48</f>
        <v>0</v>
      </c>
      <c r="R48" s="13">
        <f>O48-P48</f>
        <v>44035</v>
      </c>
      <c r="S48" s="13">
        <v>44035</v>
      </c>
      <c r="T48" s="13">
        <v>1783.36</v>
      </c>
      <c r="U48" s="80">
        <f>(T48/S48)</f>
        <v>4.0498694220506413E-2</v>
      </c>
      <c r="V48" s="13">
        <f>S48-T48</f>
        <v>42251.64</v>
      </c>
      <c r="W48" s="13">
        <f>'FY 2009 Exp 01-06-10'!C2</f>
        <v>44035</v>
      </c>
      <c r="X48" s="13">
        <f>SUM('FY 2009 Exp 01-06-10'!F2:H2)</f>
        <v>14369.279999999999</v>
      </c>
      <c r="Y48" s="80">
        <f>X48/W48</f>
        <v>0.3263149767230612</v>
      </c>
      <c r="Z48" s="13">
        <f>'FY 2009 Exp 01-06-10'!D2</f>
        <v>217718</v>
      </c>
      <c r="AA48" s="80">
        <f>X48/Z48</f>
        <v>6.5999503945470744E-2</v>
      </c>
      <c r="AB48" s="13">
        <f>W48-X48</f>
        <v>29665.72</v>
      </c>
      <c r="AC48" s="13">
        <f>'FY 2008 Exp 01-06-10'!C2</f>
        <v>44035</v>
      </c>
      <c r="AD48" s="13">
        <f>SUM('FY 2008 Exp 01-06-10'!F2:H2)</f>
        <v>7545.48</v>
      </c>
      <c r="AE48" s="80">
        <f>AD48/AC48</f>
        <v>0.17135187918701034</v>
      </c>
      <c r="AF48" s="13">
        <f>'FY 2008 Exp 01-06-10'!D2</f>
        <v>401290</v>
      </c>
      <c r="AG48" s="80">
        <f>AD48/AF48</f>
        <v>1.8803060131077274E-2</v>
      </c>
      <c r="AH48" s="13">
        <f>AC48-AD48</f>
        <v>36489.520000000004</v>
      </c>
    </row>
    <row r="49" spans="1:34" ht="15.75" customHeight="1">
      <c r="A49" s="179" t="s">
        <v>102</v>
      </c>
      <c r="B49" s="180"/>
      <c r="C49" s="22">
        <f t="shared" si="11"/>
        <v>19844693</v>
      </c>
      <c r="D49" s="22">
        <f t="shared" si="11"/>
        <v>5063212</v>
      </c>
      <c r="E49" s="12">
        <f>(D49/C49)</f>
        <v>0.25514186588827553</v>
      </c>
      <c r="F49" s="22">
        <f>+G49-D49</f>
        <v>-102038.75</v>
      </c>
      <c r="G49" s="25">
        <f>C49*0.25</f>
        <v>4961173.25</v>
      </c>
      <c r="H49" s="25">
        <f>C49-D49</f>
        <v>14781481</v>
      </c>
      <c r="I49" s="1">
        <v>0.25</v>
      </c>
      <c r="J49" s="65" t="str">
        <f>A49</f>
        <v>Public Transport</v>
      </c>
      <c r="K49" s="129">
        <v>19844693</v>
      </c>
      <c r="L49" s="129">
        <v>5063212</v>
      </c>
      <c r="M49" s="131">
        <f>L49/K49</f>
        <v>0.25514186588827553</v>
      </c>
      <c r="N49" s="81">
        <f>K49-L49</f>
        <v>14781481</v>
      </c>
      <c r="O49" s="129">
        <v>19188923</v>
      </c>
      <c r="P49" s="129">
        <v>3387465</v>
      </c>
      <c r="Q49" s="131">
        <f>P49/O49</f>
        <v>0.17653231502362066</v>
      </c>
      <c r="R49" s="81">
        <f>O49-P49</f>
        <v>15801458</v>
      </c>
      <c r="S49" s="81">
        <v>19347332</v>
      </c>
      <c r="T49" s="81">
        <v>2680684.2000000002</v>
      </c>
      <c r="U49" s="80">
        <f>(T49/S49)</f>
        <v>0.13855575538787468</v>
      </c>
      <c r="V49" s="81">
        <f>S49-T49</f>
        <v>16666647.800000001</v>
      </c>
      <c r="W49" s="81">
        <f>'FY 2009 Exp 01-06-10'!C4</f>
        <v>19861346</v>
      </c>
      <c r="X49" s="81">
        <f>SUM('FY 2009 Exp 01-06-10'!F4:H4)</f>
        <v>3880456.6799999997</v>
      </c>
      <c r="Y49" s="80">
        <f>X49/W49</f>
        <v>0.19537732639066857</v>
      </c>
      <c r="Z49" s="81">
        <f>'FY 2009 Exp 01-06-10'!D4</f>
        <v>23302893</v>
      </c>
      <c r="AA49" s="80">
        <f>X49/Z49</f>
        <v>0.16652252919841326</v>
      </c>
      <c r="AB49" s="13">
        <f>W49-X49</f>
        <v>15980889.32</v>
      </c>
      <c r="AC49" s="81">
        <f>'FY 2008 Exp 01-06-10'!C4</f>
        <v>17022879</v>
      </c>
      <c r="AD49" s="81">
        <f>SUM('FY 2008 Exp 01-06-10'!F4:H4)</f>
        <v>2716479.66</v>
      </c>
      <c r="AE49" s="80">
        <f>AD49/AC49</f>
        <v>0.15957815713781437</v>
      </c>
      <c r="AF49" s="81">
        <f>'FY 2008 Exp 01-06-10'!C4</f>
        <v>17022879</v>
      </c>
      <c r="AG49" s="80">
        <f>AD49/AF49</f>
        <v>0.15957815713781437</v>
      </c>
      <c r="AH49" s="13">
        <f>AC49-AD49</f>
        <v>14306399.34</v>
      </c>
    </row>
    <row r="50" spans="1:34" ht="15.75" customHeight="1" thickBot="1">
      <c r="A50" s="179" t="s">
        <v>24</v>
      </c>
      <c r="B50" s="180"/>
      <c r="C50" s="22">
        <f t="shared" si="11"/>
        <v>0</v>
      </c>
      <c r="D50" s="22">
        <f t="shared" si="11"/>
        <v>0</v>
      </c>
      <c r="E50" s="12">
        <v>0</v>
      </c>
      <c r="F50" s="22">
        <f>+G50-D50</f>
        <v>0</v>
      </c>
      <c r="G50" s="25">
        <f>C50*0.25</f>
        <v>0</v>
      </c>
      <c r="H50" s="25">
        <f>C50-D50</f>
        <v>0</v>
      </c>
      <c r="I50" s="1">
        <v>0.25</v>
      </c>
      <c r="J50" s="65" t="str">
        <f>A50</f>
        <v>Transfers</v>
      </c>
      <c r="K50" s="130">
        <v>0</v>
      </c>
      <c r="L50" s="130">
        <v>0</v>
      </c>
      <c r="M50" s="133" t="e">
        <f>L50/K50</f>
        <v>#DIV/0!</v>
      </c>
      <c r="N50" s="83">
        <f>K50-L50</f>
        <v>0</v>
      </c>
      <c r="O50" s="130">
        <v>0</v>
      </c>
      <c r="P50" s="130">
        <v>0</v>
      </c>
      <c r="Q50" s="133" t="e">
        <f>P50/O50</f>
        <v>#DIV/0!</v>
      </c>
      <c r="R50" s="83">
        <f>O50-P50</f>
        <v>0</v>
      </c>
      <c r="S50" s="83">
        <v>0</v>
      </c>
      <c r="T50" s="83">
        <v>0</v>
      </c>
      <c r="U50" s="77" t="e">
        <f>(T50/S50)</f>
        <v>#DIV/0!</v>
      </c>
      <c r="V50" s="83">
        <f>S50-T50</f>
        <v>0</v>
      </c>
      <c r="W50" s="83">
        <f>'FY 2009 Exp 01-06-10'!C5</f>
        <v>0</v>
      </c>
      <c r="X50" s="83">
        <f>SUM('FY 2009 Exp 01-06-10'!F5:H5)</f>
        <v>0</v>
      </c>
      <c r="Y50" s="77" t="e">
        <f>X50/W50</f>
        <v>#DIV/0!</v>
      </c>
      <c r="Z50" s="83">
        <f>'FY 2009 Exp 01-06-10'!D5</f>
        <v>433900</v>
      </c>
      <c r="AA50" s="77">
        <f>X50/Z50</f>
        <v>0</v>
      </c>
      <c r="AB50" s="84">
        <f>W50-X50</f>
        <v>0</v>
      </c>
      <c r="AC50" s="83">
        <f>'FY 2008 Exp 01-06-10'!C5</f>
        <v>0</v>
      </c>
      <c r="AD50" s="83">
        <f>SUM('FY 2008 Exp 01-06-10'!F5:H5)</f>
        <v>0</v>
      </c>
      <c r="AE50" s="77" t="e">
        <f>AD50/AC50</f>
        <v>#DIV/0!</v>
      </c>
      <c r="AF50" s="83">
        <f>'FY 2008 Exp 01-06-10'!C5</f>
        <v>0</v>
      </c>
      <c r="AG50" s="77" t="e">
        <f>AD50/AF50</f>
        <v>#DIV/0!</v>
      </c>
      <c r="AH50" s="84">
        <f>AC50-AD50</f>
        <v>0</v>
      </c>
    </row>
    <row r="51" spans="1:34" ht="15.75" customHeight="1" thickBot="1">
      <c r="A51" s="181" t="s">
        <v>22</v>
      </c>
      <c r="B51" s="182"/>
      <c r="C51" s="20">
        <f>SUM(C48:C50)</f>
        <v>19888728</v>
      </c>
      <c r="D51" s="20">
        <f>SUM(D48:D50)</f>
        <v>5063212</v>
      </c>
      <c r="E51" s="12">
        <f>(D51/C51)</f>
        <v>0.25457696439913102</v>
      </c>
      <c r="F51" s="144">
        <f>+G51-D51</f>
        <v>-91030</v>
      </c>
      <c r="G51" s="14">
        <f>C51*0.25</f>
        <v>4972182</v>
      </c>
      <c r="J51" s="50"/>
      <c r="K51" s="82">
        <f>SUM(K48:K50)</f>
        <v>19888728</v>
      </c>
      <c r="L51" s="82">
        <f>SUM(L48:L50)</f>
        <v>5063212</v>
      </c>
      <c r="M51" s="132">
        <f>L51/K51</f>
        <v>0.25457696439913102</v>
      </c>
      <c r="N51" s="82">
        <f>SUM(N48:N50)</f>
        <v>14825516</v>
      </c>
      <c r="O51" s="82">
        <f>SUM(O48:O50)</f>
        <v>19232958</v>
      </c>
      <c r="P51" s="82">
        <f>SUM(P48:P50)</f>
        <v>3387465</v>
      </c>
      <c r="Q51" s="132">
        <f>P51/O51</f>
        <v>0.17612813380032338</v>
      </c>
      <c r="R51" s="82">
        <f>SUM(R48:R50)</f>
        <v>15845493</v>
      </c>
      <c r="S51" s="82">
        <f>SUM(S48:S50)</f>
        <v>19391367</v>
      </c>
      <c r="T51" s="82">
        <f>SUM(T48:T50)</f>
        <v>2682467.56</v>
      </c>
      <c r="U51" s="78">
        <f>(T51/S51)</f>
        <v>0.13833308193280031</v>
      </c>
      <c r="V51" s="82">
        <f>SUM(V48:V50)</f>
        <v>16708899.440000001</v>
      </c>
      <c r="W51" s="82">
        <f>SUM(W48:W50)</f>
        <v>19905381</v>
      </c>
      <c r="X51" s="82">
        <f>SUM(X48:X50)</f>
        <v>3894825.9599999995</v>
      </c>
      <c r="Y51" s="78">
        <f>X51/W51</f>
        <v>0.19566698874038127</v>
      </c>
      <c r="Z51" s="82">
        <f>SUM(Z48:Z50)</f>
        <v>23954511</v>
      </c>
      <c r="AA51" s="78">
        <f>X51/Z51</f>
        <v>0.16259258892823983</v>
      </c>
      <c r="AB51" s="82">
        <f>SUM(AB48:AB50)</f>
        <v>16010555.040000001</v>
      </c>
      <c r="AC51" s="82">
        <f>SUM(AC48:AC50)</f>
        <v>17066914</v>
      </c>
      <c r="AD51" s="82">
        <f>SUM(AD48:AD50)</f>
        <v>2724025.14</v>
      </c>
      <c r="AE51" s="78">
        <f>AD51/AC51</f>
        <v>0.15960853497005961</v>
      </c>
      <c r="AF51" s="82">
        <f>SUM(AF48:AF50)</f>
        <v>17424169</v>
      </c>
      <c r="AG51" s="78">
        <f>AD51/AF51</f>
        <v>0.15633601464724087</v>
      </c>
      <c r="AH51" s="82">
        <f>SUM(AH48:AH50)</f>
        <v>14342888.859999999</v>
      </c>
    </row>
    <row r="52" spans="1:34" ht="15.75" customHeight="1" thickTop="1">
      <c r="A52" s="134"/>
      <c r="B52" s="134"/>
      <c r="C52" s="135"/>
      <c r="D52" s="135"/>
      <c r="E52" s="136"/>
      <c r="F52" s="23"/>
      <c r="G52" s="14"/>
      <c r="J52" s="50"/>
      <c r="K52" s="137"/>
      <c r="L52" s="137"/>
      <c r="M52" s="138"/>
      <c r="N52" s="24"/>
      <c r="O52" s="24"/>
      <c r="P52" s="24"/>
      <c r="Q52" s="136"/>
      <c r="R52" s="24"/>
      <c r="S52" s="24"/>
      <c r="T52" s="24"/>
      <c r="U52" s="136"/>
      <c r="V52" s="24"/>
      <c r="W52" s="136"/>
      <c r="X52" s="24"/>
      <c r="Y52" s="24"/>
      <c r="Z52" s="24"/>
      <c r="AA52" s="136"/>
      <c r="AB52" s="24"/>
      <c r="AC52" s="136"/>
      <c r="AD52" s="24"/>
    </row>
  </sheetData>
  <mergeCells count="17">
    <mergeCell ref="A47:B47"/>
    <mergeCell ref="A48:B48"/>
    <mergeCell ref="A49:B49"/>
    <mergeCell ref="A50:B50"/>
    <mergeCell ref="A51:B51"/>
    <mergeCell ref="A45:F45"/>
    <mergeCell ref="B3:D3"/>
    <mergeCell ref="A13:F13"/>
    <mergeCell ref="A14:F14"/>
    <mergeCell ref="A16:B16"/>
    <mergeCell ref="A17:B17"/>
    <mergeCell ref="A18:B18"/>
    <mergeCell ref="A19:B19"/>
    <mergeCell ref="A20:B20"/>
    <mergeCell ref="A21:B21"/>
    <mergeCell ref="A22:B22"/>
    <mergeCell ref="A23:B23"/>
  </mergeCells>
  <printOptions horizontalCentered="1"/>
  <pageMargins left="0.5" right="0.5" top="0.5" bottom="0.5" header="0.5" footer="0.5"/>
  <pageSetup orientation="portrait" r:id="rId1"/>
  <headerFooter alignWithMargins="0"/>
  <rowBreaks count="1" manualBreakCount="1">
    <brk id="79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opLeftCell="K25" workbookViewId="0">
      <selection activeCell="Z48" sqref="Z48:Z50"/>
    </sheetView>
  </sheetViews>
  <sheetFormatPr defaultRowHeight="12.75"/>
  <cols>
    <col min="1" max="1" width="5.5" style="2" bestFit="1" customWidth="1"/>
    <col min="2" max="2" width="15" style="2" customWidth="1"/>
    <col min="3" max="4" width="19.125" style="2" customWidth="1"/>
    <col min="5" max="5" width="8" style="2" customWidth="1"/>
    <col min="6" max="6" width="18.25" style="2" customWidth="1"/>
    <col min="7" max="7" width="14.375" style="2" bestFit="1" customWidth="1"/>
    <col min="8" max="8" width="18.25" style="2" customWidth="1"/>
    <col min="9" max="9" width="13.125" style="2" bestFit="1" customWidth="1"/>
    <col min="10" max="10" width="27.25" style="2" bestFit="1" customWidth="1"/>
    <col min="11" max="11" width="12.5" style="2" bestFit="1" customWidth="1"/>
    <col min="12" max="12" width="10.25" style="2" bestFit="1" customWidth="1"/>
    <col min="13" max="14" width="11.5" style="2" customWidth="1"/>
    <col min="15" max="15" width="11.125" style="2" bestFit="1" customWidth="1"/>
    <col min="16" max="16" width="13.25" style="2" bestFit="1" customWidth="1"/>
    <col min="17" max="17" width="12.75" style="2" customWidth="1"/>
    <col min="18" max="18" width="12.5" style="2" bestFit="1" customWidth="1"/>
    <col min="19" max="19" width="11.25" style="2" customWidth="1"/>
    <col min="20" max="20" width="12.5" style="2" bestFit="1" customWidth="1"/>
    <col min="21" max="21" width="11.125" style="2" bestFit="1" customWidth="1"/>
    <col min="22" max="22" width="15.875" style="2" customWidth="1"/>
    <col min="23" max="23" width="10.75" style="2" customWidth="1"/>
    <col min="24" max="24" width="13.625" style="2" customWidth="1"/>
    <col min="25" max="25" width="11.875" style="2" customWidth="1"/>
    <col min="26" max="26" width="12.5" style="2" bestFit="1" customWidth="1"/>
    <col min="27" max="27" width="11.5" style="2" customWidth="1"/>
    <col min="28" max="28" width="11" style="2" customWidth="1"/>
    <col min="29" max="29" width="9" style="2"/>
    <col min="30" max="30" width="14" style="2" customWidth="1"/>
    <col min="31" max="16384" width="9" style="2"/>
  </cols>
  <sheetData>
    <row r="1" spans="1:24" ht="15.95" customHeight="1">
      <c r="E1" s="3"/>
      <c r="F1" s="3" t="s">
        <v>17</v>
      </c>
    </row>
    <row r="2" spans="1:24" ht="15.95" customHeight="1">
      <c r="E2" s="3"/>
      <c r="F2" s="3" t="s">
        <v>36</v>
      </c>
    </row>
    <row r="3" spans="1:24" ht="15.95" customHeight="1">
      <c r="B3" s="175" t="s">
        <v>30</v>
      </c>
      <c r="C3" s="175"/>
      <c r="D3" s="175"/>
      <c r="E3" s="3"/>
      <c r="F3" s="3" t="s">
        <v>37</v>
      </c>
    </row>
    <row r="4" spans="1:24" ht="15.95" customHeight="1">
      <c r="E4" s="3"/>
      <c r="F4" s="3" t="s">
        <v>38</v>
      </c>
    </row>
    <row r="5" spans="1:24" ht="15.95" customHeight="1">
      <c r="E5" s="3"/>
      <c r="F5" s="3" t="s">
        <v>18</v>
      </c>
    </row>
    <row r="6" spans="1:24" ht="15.75">
      <c r="A6" s="4"/>
      <c r="B6" s="4"/>
      <c r="C6" s="4"/>
      <c r="D6" s="5"/>
      <c r="E6" s="5"/>
      <c r="F6" s="4"/>
    </row>
    <row r="7" spans="1:24" ht="15.75">
      <c r="D7" s="3"/>
      <c r="E7" s="3"/>
    </row>
    <row r="8" spans="1:24" ht="19.5" customHeight="1">
      <c r="A8" s="6" t="s">
        <v>25</v>
      </c>
      <c r="B8" s="7" t="s">
        <v>26</v>
      </c>
    </row>
    <row r="9" spans="1:24" ht="19.5" customHeight="1">
      <c r="A9" s="6" t="s">
        <v>27</v>
      </c>
      <c r="B9" s="7" t="s">
        <v>64</v>
      </c>
    </row>
    <row r="10" spans="1:24" ht="19.5" customHeight="1">
      <c r="A10" s="6" t="s">
        <v>28</v>
      </c>
      <c r="B10" s="8">
        <v>40831</v>
      </c>
    </row>
    <row r="11" spans="1:24" ht="19.5" customHeight="1">
      <c r="A11" s="6" t="s">
        <v>29</v>
      </c>
      <c r="B11" s="7" t="s">
        <v>138</v>
      </c>
    </row>
    <row r="12" spans="1:24" ht="19.5" customHeight="1">
      <c r="A12" s="6"/>
      <c r="B12" s="7"/>
    </row>
    <row r="13" spans="1:24" ht="12" customHeight="1">
      <c r="A13" s="184"/>
      <c r="B13" s="184"/>
      <c r="C13" s="184"/>
      <c r="D13" s="184"/>
      <c r="E13" s="184"/>
      <c r="F13" s="184"/>
    </row>
    <row r="14" spans="1:24" ht="31.5" customHeight="1">
      <c r="A14" s="183" t="s">
        <v>87</v>
      </c>
      <c r="B14" s="183"/>
      <c r="C14" s="183"/>
      <c r="D14" s="183"/>
      <c r="E14" s="183"/>
      <c r="F14" s="183"/>
    </row>
    <row r="15" spans="1:24">
      <c r="K15" s="64"/>
      <c r="L15" s="64"/>
      <c r="M15" s="64"/>
      <c r="N15" s="64"/>
    </row>
    <row r="16" spans="1:24" ht="38.25">
      <c r="A16" s="185"/>
      <c r="B16" s="185"/>
      <c r="C16" s="9" t="s">
        <v>113</v>
      </c>
      <c r="D16" s="9" t="s">
        <v>139</v>
      </c>
      <c r="E16" s="9" t="s">
        <v>19</v>
      </c>
      <c r="F16" s="9" t="s">
        <v>140</v>
      </c>
      <c r="G16" s="10">
        <v>1</v>
      </c>
      <c r="H16" s="2" t="s">
        <v>31</v>
      </c>
      <c r="I16" s="10">
        <v>1</v>
      </c>
      <c r="K16" s="9" t="s">
        <v>110</v>
      </c>
      <c r="L16" s="9" t="s">
        <v>111</v>
      </c>
      <c r="M16" s="9">
        <v>2011</v>
      </c>
      <c r="N16" s="9" t="s">
        <v>65</v>
      </c>
      <c r="O16" s="9" t="s">
        <v>141</v>
      </c>
      <c r="P16" s="9">
        <v>2010</v>
      </c>
      <c r="Q16" s="9" t="s">
        <v>1</v>
      </c>
      <c r="R16" s="9" t="s">
        <v>142</v>
      </c>
      <c r="S16" s="9" t="s">
        <v>76</v>
      </c>
      <c r="T16" s="9">
        <v>2009</v>
      </c>
      <c r="U16" s="9" t="s">
        <v>74</v>
      </c>
      <c r="V16" s="9" t="s">
        <v>143</v>
      </c>
      <c r="W16" s="9" t="s">
        <v>77</v>
      </c>
      <c r="X16" s="9">
        <v>2008</v>
      </c>
    </row>
    <row r="17" spans="1:24" ht="15.75" customHeight="1">
      <c r="A17" s="186" t="s">
        <v>20</v>
      </c>
      <c r="B17" s="186"/>
      <c r="C17" s="11">
        <f t="shared" ref="C17:D22" si="0">K17</f>
        <v>0</v>
      </c>
      <c r="D17" s="11">
        <f t="shared" si="0"/>
        <v>0</v>
      </c>
      <c r="E17" s="139" t="s">
        <v>117</v>
      </c>
      <c r="F17" s="29">
        <f t="shared" ref="F17:F22" si="1">D17-G17</f>
        <v>0</v>
      </c>
      <c r="G17" s="14">
        <f>C17</f>
        <v>0</v>
      </c>
      <c r="H17" s="15">
        <f>C17-D17</f>
        <v>0</v>
      </c>
      <c r="I17" s="10">
        <v>1</v>
      </c>
      <c r="J17" s="21" t="str">
        <f t="shared" ref="J17:J22" si="2">A17</f>
        <v>Current / Delinquent Taxes</v>
      </c>
      <c r="K17" s="129">
        <v>0</v>
      </c>
      <c r="L17" s="129">
        <v>0</v>
      </c>
      <c r="M17" s="12" t="e">
        <f t="shared" ref="M17:M23" si="3">(L17/K17)</f>
        <v>#DIV/0!</v>
      </c>
      <c r="N17" s="11">
        <v>4337995</v>
      </c>
      <c r="O17" s="11">
        <v>4332761.68</v>
      </c>
      <c r="P17" s="12">
        <f t="shared" ref="P17:P23" si="4">(O17/N17)</f>
        <v>0.99879360856801347</v>
      </c>
      <c r="Q17" s="11">
        <f>'FY 2009 Rev 01-15-10'!E3</f>
        <v>4070011</v>
      </c>
      <c r="R17" s="11">
        <v>4089020.4200000004</v>
      </c>
      <c r="S17" s="11">
        <f>'FY 2009 Rev 01-15-10'!D3</f>
        <v>4095648.34</v>
      </c>
      <c r="T17" s="12">
        <f t="shared" ref="T17:T23" si="5">R17/S17</f>
        <v>0.99838171653184471</v>
      </c>
      <c r="U17" s="11">
        <f>'FY 2008 Rev 01-15-10'!E3</f>
        <v>762480</v>
      </c>
      <c r="V17" s="11">
        <v>788839.59</v>
      </c>
      <c r="W17" s="11">
        <f>'FY 2008 Rev 01-15-10'!D3</f>
        <v>788839.59</v>
      </c>
      <c r="X17" s="12">
        <f t="shared" ref="X17:X23" si="6">V17/W17</f>
        <v>1</v>
      </c>
    </row>
    <row r="18" spans="1:24" ht="15.75" customHeight="1">
      <c r="A18" s="186" t="s">
        <v>66</v>
      </c>
      <c r="B18" s="186"/>
      <c r="C18" s="22">
        <f t="shared" si="0"/>
        <v>2000</v>
      </c>
      <c r="D18" s="22">
        <f t="shared" si="0"/>
        <v>1431</v>
      </c>
      <c r="E18" s="12">
        <f t="shared" ref="E18:E23" si="7">(D18/C18)</f>
        <v>0.71550000000000002</v>
      </c>
      <c r="F18" s="22">
        <f>D18-G18</f>
        <v>-569</v>
      </c>
      <c r="G18" s="14">
        <f t="shared" ref="G18:G23" si="8">C18</f>
        <v>2000</v>
      </c>
      <c r="H18" s="15">
        <f>C18-D18</f>
        <v>569</v>
      </c>
      <c r="I18" s="10">
        <v>1</v>
      </c>
      <c r="J18" s="21" t="str">
        <f t="shared" si="2"/>
        <v>License / Permits</v>
      </c>
      <c r="K18" s="129">
        <v>2000</v>
      </c>
      <c r="L18" s="129">
        <v>1431</v>
      </c>
      <c r="M18" s="12">
        <f t="shared" si="3"/>
        <v>0.71550000000000002</v>
      </c>
      <c r="N18" s="16">
        <v>1854</v>
      </c>
      <c r="O18" s="28">
        <v>1620</v>
      </c>
      <c r="P18" s="12">
        <f t="shared" si="4"/>
        <v>0.87378640776699024</v>
      </c>
      <c r="Q18" s="28">
        <f>'FY 2009 Rev 01-15-10'!E5</f>
        <v>3000</v>
      </c>
      <c r="R18" s="28">
        <v>1476</v>
      </c>
      <c r="S18" s="28">
        <f>'FY 2009 Rev 01-15-10'!D5</f>
        <v>1476</v>
      </c>
      <c r="T18" s="12">
        <f t="shared" si="5"/>
        <v>1</v>
      </c>
      <c r="U18" s="28">
        <f>'FY 2008 Rev 01-15-10'!E5</f>
        <v>7500</v>
      </c>
      <c r="V18" s="28">
        <v>3209</v>
      </c>
      <c r="W18" s="28">
        <f>'FY 2008 Rev 01-15-10'!D5</f>
        <v>3209</v>
      </c>
      <c r="X18" s="12">
        <f t="shared" si="6"/>
        <v>1</v>
      </c>
    </row>
    <row r="19" spans="1:24" ht="24.75" customHeight="1">
      <c r="A19" s="186" t="s">
        <v>2</v>
      </c>
      <c r="B19" s="186"/>
      <c r="C19" s="22">
        <f t="shared" si="0"/>
        <v>13169000</v>
      </c>
      <c r="D19" s="22">
        <f t="shared" si="0"/>
        <v>13131612</v>
      </c>
      <c r="E19" s="12">
        <f t="shared" si="7"/>
        <v>0.99716090819348469</v>
      </c>
      <c r="F19" s="22">
        <f t="shared" si="1"/>
        <v>-37388</v>
      </c>
      <c r="G19" s="14">
        <f t="shared" si="8"/>
        <v>13169000</v>
      </c>
      <c r="H19" s="27">
        <f>C19-D19</f>
        <v>37388</v>
      </c>
      <c r="I19" s="10">
        <v>1</v>
      </c>
      <c r="J19" s="21" t="str">
        <f t="shared" si="2"/>
        <v>Fees/Charges for Services</v>
      </c>
      <c r="K19" s="129">
        <v>13169000</v>
      </c>
      <c r="L19" s="129">
        <v>13131612</v>
      </c>
      <c r="M19" s="12">
        <f t="shared" si="3"/>
        <v>0.99716090819348469</v>
      </c>
      <c r="N19" s="16">
        <v>12094490</v>
      </c>
      <c r="O19" s="28">
        <v>12058465.6</v>
      </c>
      <c r="P19" s="12">
        <f t="shared" si="4"/>
        <v>0.9970214204980945</v>
      </c>
      <c r="Q19" s="28">
        <f>'FY 2009 Rev 01-15-10'!E10</f>
        <v>11806400</v>
      </c>
      <c r="R19" s="28">
        <v>13174508.390000002</v>
      </c>
      <c r="S19" s="28">
        <f>'FY 2009 Rev 01-15-10'!D10</f>
        <v>13237833.390000001</v>
      </c>
      <c r="T19" s="12">
        <f t="shared" si="5"/>
        <v>0.99521636221469334</v>
      </c>
      <c r="U19" s="28">
        <f>'FY 2008 Rev 01-15-10'!E10</f>
        <v>11740700</v>
      </c>
      <c r="V19" s="28">
        <v>13297241.34</v>
      </c>
      <c r="W19" s="28">
        <f>'FY 2008 Rev 01-15-10'!D10</f>
        <v>13297241.34</v>
      </c>
      <c r="X19" s="12">
        <f t="shared" si="6"/>
        <v>1</v>
      </c>
    </row>
    <row r="20" spans="1:24" ht="15.75" customHeight="1">
      <c r="A20" s="186" t="s">
        <v>4</v>
      </c>
      <c r="B20" s="186"/>
      <c r="C20" s="22">
        <f t="shared" si="0"/>
        <v>2066000</v>
      </c>
      <c r="D20" s="22">
        <f t="shared" si="0"/>
        <v>1819075</v>
      </c>
      <c r="E20" s="12">
        <f t="shared" si="7"/>
        <v>0.88048160696999034</v>
      </c>
      <c r="F20" s="22">
        <f t="shared" si="1"/>
        <v>-246925</v>
      </c>
      <c r="G20" s="14">
        <f t="shared" si="8"/>
        <v>2066000</v>
      </c>
      <c r="H20" s="27">
        <f>C20-D20</f>
        <v>246925</v>
      </c>
      <c r="I20" s="10">
        <v>1</v>
      </c>
      <c r="J20" s="21" t="str">
        <f t="shared" si="2"/>
        <v>Fines</v>
      </c>
      <c r="K20" s="129">
        <v>2066000</v>
      </c>
      <c r="L20" s="129">
        <v>1819075</v>
      </c>
      <c r="M20" s="12">
        <f t="shared" si="3"/>
        <v>0.88048160696999034</v>
      </c>
      <c r="N20" s="16">
        <v>2295355</v>
      </c>
      <c r="O20" s="28">
        <v>2013491.08</v>
      </c>
      <c r="P20" s="12">
        <f t="shared" si="4"/>
        <v>0.87720247194878354</v>
      </c>
      <c r="Q20" s="28">
        <f>'FY 2009 Rev 01-15-10'!E12</f>
        <v>1904500</v>
      </c>
      <c r="R20" s="28">
        <v>2190630.58</v>
      </c>
      <c r="S20" s="28">
        <f>'FY 2009 Rev 01-15-10'!D12</f>
        <v>2213669.08</v>
      </c>
      <c r="T20" s="12">
        <f t="shared" si="5"/>
        <v>0.98959261788125985</v>
      </c>
      <c r="U20" s="28">
        <f>'FY 2008 Rev 01-15-10'!E12</f>
        <v>2042325</v>
      </c>
      <c r="V20" s="28">
        <v>2340429.91</v>
      </c>
      <c r="W20" s="28">
        <f>'FY 2008 Rev 01-15-10'!D12</f>
        <v>2340429.91</v>
      </c>
      <c r="X20" s="12">
        <f t="shared" si="6"/>
        <v>1</v>
      </c>
    </row>
    <row r="21" spans="1:24" ht="15.75" customHeight="1">
      <c r="A21" s="186" t="s">
        <v>3</v>
      </c>
      <c r="B21" s="186"/>
      <c r="C21" s="22">
        <f t="shared" si="0"/>
        <v>120000</v>
      </c>
      <c r="D21" s="22">
        <f t="shared" si="0"/>
        <v>187042</v>
      </c>
      <c r="E21" s="12">
        <f t="shared" si="7"/>
        <v>1.5586833333333334</v>
      </c>
      <c r="F21" s="22">
        <f t="shared" si="1"/>
        <v>67042</v>
      </c>
      <c r="G21" s="14">
        <f t="shared" si="8"/>
        <v>120000</v>
      </c>
      <c r="H21" s="27">
        <v>0</v>
      </c>
      <c r="I21" s="10">
        <v>1</v>
      </c>
      <c r="J21" s="21" t="str">
        <f t="shared" si="2"/>
        <v>Investment Revenue</v>
      </c>
      <c r="K21" s="129">
        <v>120000</v>
      </c>
      <c r="L21" s="129">
        <v>187042</v>
      </c>
      <c r="M21" s="12">
        <f t="shared" si="3"/>
        <v>1.5586833333333334</v>
      </c>
      <c r="N21" s="16">
        <v>280881</v>
      </c>
      <c r="O21" s="28">
        <v>204373.62</v>
      </c>
      <c r="P21" s="12">
        <f t="shared" si="4"/>
        <v>0.72761639270723188</v>
      </c>
      <c r="Q21" s="28">
        <f>'FY 2009 Rev 01-15-10'!E14</f>
        <v>305000</v>
      </c>
      <c r="R21" s="28">
        <v>275539.69999999995</v>
      </c>
      <c r="S21" s="28">
        <f>'FY 2009 Rev 01-15-10'!D14</f>
        <v>284617.61</v>
      </c>
      <c r="T21" s="12">
        <f t="shared" si="5"/>
        <v>0.96810488992582</v>
      </c>
      <c r="U21" s="28">
        <f>'FY 2008 Rev 01-15-10'!E14</f>
        <v>572500</v>
      </c>
      <c r="V21" s="28">
        <v>457042.89</v>
      </c>
      <c r="W21" s="28">
        <f>'FY 2008 Rev 01-15-10'!D14</f>
        <v>457042.89</v>
      </c>
      <c r="X21" s="12">
        <f t="shared" si="6"/>
        <v>1</v>
      </c>
    </row>
    <row r="22" spans="1:24" ht="15.75" customHeight="1" thickBot="1">
      <c r="A22" s="186" t="s">
        <v>21</v>
      </c>
      <c r="B22" s="186"/>
      <c r="C22" s="22">
        <f t="shared" si="0"/>
        <v>25000</v>
      </c>
      <c r="D22" s="22">
        <f t="shared" si="0"/>
        <v>58307</v>
      </c>
      <c r="E22" s="12">
        <f t="shared" si="7"/>
        <v>2.3322799999999999</v>
      </c>
      <c r="F22" s="22">
        <f t="shared" si="1"/>
        <v>33307</v>
      </c>
      <c r="G22" s="14">
        <f t="shared" si="8"/>
        <v>25000</v>
      </c>
      <c r="H22" s="27">
        <v>0</v>
      </c>
      <c r="I22" s="10">
        <v>1</v>
      </c>
      <c r="J22" s="21" t="str">
        <f t="shared" si="2"/>
        <v>Miscellaneous</v>
      </c>
      <c r="K22" s="130">
        <f>15000+10000</f>
        <v>25000</v>
      </c>
      <c r="L22" s="130">
        <f>9307+49000</f>
        <v>58307</v>
      </c>
      <c r="M22" s="127">
        <f t="shared" si="3"/>
        <v>2.3322799999999999</v>
      </c>
      <c r="N22" s="52">
        <v>25400</v>
      </c>
      <c r="O22" s="53">
        <v>279774.43</v>
      </c>
      <c r="P22" s="77">
        <f t="shared" si="4"/>
        <v>11.014741338582677</v>
      </c>
      <c r="Q22" s="53">
        <f>'FY 2009 Rev 01-15-10'!E16+'FY 2009 Rev 01-15-10'!E18+'FY 2009 Rev 01-15-10'!E20</f>
        <v>117000</v>
      </c>
      <c r="R22" s="53">
        <v>65838.149999999994</v>
      </c>
      <c r="S22" s="53">
        <f>'FY 2009 Rev 01-15-10'!D16+'FY 2009 Rev 01-15-10'!D18+'FY 2009 Rev 01-15-10'!D20</f>
        <v>65838.240000000005</v>
      </c>
      <c r="T22" s="77">
        <f t="shared" si="5"/>
        <v>0.99999863301327596</v>
      </c>
      <c r="U22" s="53">
        <f>'FY 2008 Rev 01-15-10'!E16+'FY 2008 Rev 01-15-10'!E18+'FY 2008 Rev 01-15-10'!E20</f>
        <v>90000</v>
      </c>
      <c r="V22" s="53">
        <v>363410.55</v>
      </c>
      <c r="W22" s="53">
        <f>'FY 2008 Rev 01-15-10'!D16+'FY 2008 Rev 01-15-10'!D18+'FY 2008 Rev 01-15-10'!D20</f>
        <v>363410.55000000005</v>
      </c>
      <c r="X22" s="77">
        <f t="shared" si="6"/>
        <v>0.99999999999999989</v>
      </c>
    </row>
    <row r="23" spans="1:24" ht="15.75" customHeight="1" thickBot="1">
      <c r="A23" s="187" t="s">
        <v>22</v>
      </c>
      <c r="B23" s="187"/>
      <c r="C23" s="11">
        <f>SUM(C17:C22)</f>
        <v>15382000</v>
      </c>
      <c r="D23" s="11">
        <f>SUM(D17:D22)</f>
        <v>15197467</v>
      </c>
      <c r="E23" s="12">
        <f t="shared" si="7"/>
        <v>0.98800331556364585</v>
      </c>
      <c r="F23" s="17">
        <f>SUM(F17:F22)</f>
        <v>-184533</v>
      </c>
      <c r="G23" s="14">
        <f t="shared" si="8"/>
        <v>15382000</v>
      </c>
      <c r="H23" s="27"/>
      <c r="J23" s="21"/>
      <c r="K23" s="128">
        <f>SUM(K17:K22)</f>
        <v>15382000</v>
      </c>
      <c r="L23" s="51">
        <f>SUM(L17:L22)</f>
        <v>15197467</v>
      </c>
      <c r="M23" s="126">
        <f t="shared" si="3"/>
        <v>0.98800331556364585</v>
      </c>
      <c r="N23" s="51">
        <f>SUM(N17:N22)</f>
        <v>19035975</v>
      </c>
      <c r="O23" s="51">
        <f>SUM(O17:O22)</f>
        <v>18890486.41</v>
      </c>
      <c r="P23" s="78">
        <f t="shared" si="4"/>
        <v>0.99235717687168634</v>
      </c>
      <c r="Q23" s="51">
        <f>SUM(Q17:Q22)</f>
        <v>18205911</v>
      </c>
      <c r="R23" s="51">
        <f>SUM(R17:R22)</f>
        <v>19797013.239999998</v>
      </c>
      <c r="S23" s="51">
        <f>SUM(S17:S22)</f>
        <v>19899082.66</v>
      </c>
      <c r="T23" s="78">
        <f t="shared" si="5"/>
        <v>0.99487064696679828</v>
      </c>
      <c r="U23" s="51">
        <f>SUM(U17:U22)</f>
        <v>15215505</v>
      </c>
      <c r="V23" s="51">
        <f>SUM(V17:V22)</f>
        <v>17250173.280000001</v>
      </c>
      <c r="W23" s="51">
        <f>SUM(W17:W22)</f>
        <v>17250173.280000001</v>
      </c>
      <c r="X23" s="78">
        <f t="shared" si="6"/>
        <v>1</v>
      </c>
    </row>
    <row r="24" spans="1:24" ht="22.5" customHeight="1" thickTop="1">
      <c r="J24" s="21"/>
      <c r="K24" s="26"/>
    </row>
    <row r="25" spans="1:24">
      <c r="J25" s="21"/>
      <c r="K25" s="26"/>
    </row>
    <row r="39" spans="1:30">
      <c r="J39" s="65"/>
      <c r="K39" s="65"/>
    </row>
    <row r="40" spans="1:30">
      <c r="J40" s="65"/>
      <c r="K40" s="65"/>
    </row>
    <row r="41" spans="1:30">
      <c r="J41" s="65"/>
      <c r="K41" s="65"/>
    </row>
    <row r="42" spans="1:30">
      <c r="J42" s="65"/>
      <c r="K42" s="65"/>
    </row>
    <row r="43" spans="1:30">
      <c r="J43" s="65"/>
      <c r="K43" s="65"/>
    </row>
    <row r="44" spans="1:30">
      <c r="J44" s="65"/>
      <c r="K44" s="65"/>
    </row>
    <row r="45" spans="1:30" ht="38.25" customHeight="1">
      <c r="A45" s="183"/>
      <c r="B45" s="183"/>
      <c r="C45" s="183"/>
      <c r="D45" s="183"/>
      <c r="E45" s="183"/>
      <c r="F45" s="183"/>
      <c r="J45" s="65"/>
      <c r="K45" s="65"/>
    </row>
    <row r="46" spans="1:30" ht="42" customHeight="1">
      <c r="A46" s="183" t="s">
        <v>88</v>
      </c>
      <c r="B46" s="183"/>
      <c r="C46" s="183"/>
      <c r="D46" s="183"/>
      <c r="E46" s="183"/>
      <c r="F46" s="183"/>
      <c r="J46" s="65"/>
      <c r="K46" s="65"/>
    </row>
    <row r="47" spans="1:30" ht="36" customHeight="1">
      <c r="A47" s="178"/>
      <c r="B47" s="178"/>
      <c r="C47" s="19" t="s">
        <v>113</v>
      </c>
      <c r="D47" s="19" t="s">
        <v>144</v>
      </c>
      <c r="E47" s="19" t="s">
        <v>19</v>
      </c>
      <c r="F47" s="9" t="s">
        <v>140</v>
      </c>
      <c r="G47" s="10">
        <v>1</v>
      </c>
      <c r="H47" s="2" t="s">
        <v>32</v>
      </c>
      <c r="K47" s="79" t="s">
        <v>113</v>
      </c>
      <c r="L47" s="75" t="s">
        <v>114</v>
      </c>
      <c r="M47" s="76">
        <v>2011</v>
      </c>
      <c r="N47" s="75" t="s">
        <v>115</v>
      </c>
      <c r="O47" s="79" t="s">
        <v>65</v>
      </c>
      <c r="P47" s="75" t="s">
        <v>145</v>
      </c>
      <c r="Q47" s="76">
        <v>2010</v>
      </c>
      <c r="R47" s="75" t="s">
        <v>79</v>
      </c>
      <c r="S47" s="75" t="s">
        <v>1</v>
      </c>
      <c r="T47" s="75" t="s">
        <v>146</v>
      </c>
      <c r="U47" s="76">
        <v>2009</v>
      </c>
      <c r="V47" s="75" t="s">
        <v>81</v>
      </c>
      <c r="W47" s="75">
        <v>2009</v>
      </c>
      <c r="X47" s="75" t="s">
        <v>82</v>
      </c>
      <c r="Y47" s="75" t="s">
        <v>74</v>
      </c>
      <c r="Z47" s="75" t="s">
        <v>147</v>
      </c>
      <c r="AA47" s="76">
        <v>2008</v>
      </c>
      <c r="AB47" s="75" t="s">
        <v>84</v>
      </c>
      <c r="AC47" s="75">
        <v>2008</v>
      </c>
      <c r="AD47" s="75" t="s">
        <v>85</v>
      </c>
    </row>
    <row r="48" spans="1:30" ht="15.75" customHeight="1">
      <c r="A48" s="179" t="s">
        <v>23</v>
      </c>
      <c r="B48" s="180"/>
      <c r="C48" s="11">
        <f t="shared" ref="C48:D50" si="9">K48</f>
        <v>44035</v>
      </c>
      <c r="D48" s="11">
        <f t="shared" si="9"/>
        <v>16941</v>
      </c>
      <c r="E48" s="12">
        <f>(D48/C48)</f>
        <v>0.38471670262291358</v>
      </c>
      <c r="F48" s="11">
        <f>+G48-D48</f>
        <v>27094</v>
      </c>
      <c r="G48" s="14">
        <f>C48</f>
        <v>44035</v>
      </c>
      <c r="H48" s="24">
        <f>C48-D48</f>
        <v>27094</v>
      </c>
      <c r="I48" s="1">
        <v>1</v>
      </c>
      <c r="J48" s="65" t="str">
        <f>A48</f>
        <v>Conservation</v>
      </c>
      <c r="K48" s="129">
        <v>44035</v>
      </c>
      <c r="L48" s="129">
        <v>16941</v>
      </c>
      <c r="M48" s="131">
        <f>L48/K48</f>
        <v>0.38471670262291358</v>
      </c>
      <c r="N48" s="13">
        <f>K48-L48</f>
        <v>27094</v>
      </c>
      <c r="O48" s="13">
        <v>44035</v>
      </c>
      <c r="P48" s="13">
        <v>8747.1</v>
      </c>
      <c r="Q48" s="80">
        <f>(P48/O48)</f>
        <v>0.19863971840581357</v>
      </c>
      <c r="R48" s="13">
        <f>O48-P48</f>
        <v>35287.9</v>
      </c>
      <c r="S48" s="13">
        <f>'FY 2009 Exp 01-06-10'!C2</f>
        <v>44035</v>
      </c>
      <c r="T48" s="13">
        <v>43350.66</v>
      </c>
      <c r="U48" s="80">
        <f>T48/S48</f>
        <v>0.98445918019757017</v>
      </c>
      <c r="V48" s="13">
        <f>'FY 2009 Exp 01-06-10'!D2</f>
        <v>217718</v>
      </c>
      <c r="W48" s="80">
        <f>T48/V48</f>
        <v>0.19911380776968374</v>
      </c>
      <c r="X48" s="13">
        <f>S48-T48</f>
        <v>684.33999999999651</v>
      </c>
      <c r="Y48" s="13">
        <f>'FY 2008 Exp 01-06-10'!C2</f>
        <v>44035</v>
      </c>
      <c r="Z48" s="13">
        <v>243785.86000000002</v>
      </c>
      <c r="AA48" s="80">
        <f>Z48/Y48</f>
        <v>5.5361839445895313</v>
      </c>
      <c r="AB48" s="13">
        <f>'FY 2008 Exp 01-06-10'!D2</f>
        <v>401290</v>
      </c>
      <c r="AC48" s="80">
        <f>Z48/AB48</f>
        <v>0.60750544494006831</v>
      </c>
      <c r="AD48" s="13">
        <f>Y48-Z48</f>
        <v>-199750.86000000002</v>
      </c>
    </row>
    <row r="49" spans="1:30" ht="15.75" customHeight="1">
      <c r="A49" s="179" t="s">
        <v>102</v>
      </c>
      <c r="B49" s="180"/>
      <c r="C49" s="22">
        <f t="shared" si="9"/>
        <v>19188923</v>
      </c>
      <c r="D49" s="22">
        <f t="shared" si="9"/>
        <v>16576637</v>
      </c>
      <c r="E49" s="12">
        <f>(D49/C49)</f>
        <v>0.86386489747235939</v>
      </c>
      <c r="F49" s="22">
        <f>+G49-D49</f>
        <v>2612286</v>
      </c>
      <c r="G49" s="14">
        <f>C49</f>
        <v>19188923</v>
      </c>
      <c r="H49" s="25">
        <f>C49-D49</f>
        <v>2612286</v>
      </c>
      <c r="I49" s="1">
        <v>1</v>
      </c>
      <c r="J49" s="65" t="str">
        <f>A49</f>
        <v>Public Transport</v>
      </c>
      <c r="K49" s="129">
        <v>19188923</v>
      </c>
      <c r="L49" s="129">
        <v>16576637</v>
      </c>
      <c r="M49" s="131">
        <f>L49/K49</f>
        <v>0.86386489747235939</v>
      </c>
      <c r="N49" s="81">
        <f>K49-L49</f>
        <v>2612286</v>
      </c>
      <c r="O49" s="81">
        <v>19347332</v>
      </c>
      <c r="P49" s="81">
        <v>16476256</v>
      </c>
      <c r="Q49" s="80">
        <f>(P49/O49)</f>
        <v>0.85160351825254255</v>
      </c>
      <c r="R49" s="81">
        <f>O49-P49</f>
        <v>2871076</v>
      </c>
      <c r="S49" s="81">
        <f>'FY 2009 Exp 01-06-10'!C4</f>
        <v>19861346</v>
      </c>
      <c r="T49" s="81">
        <v>15350827.599999998</v>
      </c>
      <c r="U49" s="80">
        <f>T49/S49</f>
        <v>0.77289966148316425</v>
      </c>
      <c r="V49" s="81">
        <f>'FY 2009 Exp 01-06-10'!D4</f>
        <v>23302893</v>
      </c>
      <c r="W49" s="80">
        <f>T49/V49</f>
        <v>0.65875200988993077</v>
      </c>
      <c r="X49" s="13">
        <f>S49-T49</f>
        <v>4510518.4000000022</v>
      </c>
      <c r="Y49" s="81">
        <f>'FY 2008 Exp 01-06-10'!C4</f>
        <v>17022879</v>
      </c>
      <c r="Z49" s="81">
        <v>15614231.35</v>
      </c>
      <c r="AA49" s="80">
        <f>Z49/Y49</f>
        <v>0.91724974077534116</v>
      </c>
      <c r="AB49" s="81">
        <f>'FY 2008 Exp 01-06-10'!C4</f>
        <v>17022879</v>
      </c>
      <c r="AC49" s="80">
        <f>Z49/AB49</f>
        <v>0.91724974077534116</v>
      </c>
      <c r="AD49" s="13">
        <f>Y49-Z49</f>
        <v>1408647.6500000004</v>
      </c>
    </row>
    <row r="50" spans="1:30" ht="15.75" customHeight="1" thickBot="1">
      <c r="A50" s="179" t="s">
        <v>24</v>
      </c>
      <c r="B50" s="180"/>
      <c r="C50" s="22">
        <f t="shared" si="9"/>
        <v>0</v>
      </c>
      <c r="D50" s="22">
        <f t="shared" si="9"/>
        <v>0</v>
      </c>
      <c r="E50" s="12">
        <v>0</v>
      </c>
      <c r="F50" s="28">
        <f>+G50-D50</f>
        <v>0</v>
      </c>
      <c r="G50" s="14">
        <f>C50</f>
        <v>0</v>
      </c>
      <c r="H50" s="25">
        <f>C50-D50</f>
        <v>0</v>
      </c>
      <c r="I50" s="1">
        <v>1</v>
      </c>
      <c r="J50" s="65" t="str">
        <f>A50</f>
        <v>Transfers</v>
      </c>
      <c r="K50" s="130">
        <v>0</v>
      </c>
      <c r="L50" s="130">
        <v>0</v>
      </c>
      <c r="M50" s="131" t="e">
        <f>L50/K50</f>
        <v>#DIV/0!</v>
      </c>
      <c r="N50" s="83">
        <f>K50-L50</f>
        <v>0</v>
      </c>
      <c r="O50" s="83">
        <v>0</v>
      </c>
      <c r="P50" s="83">
        <v>0</v>
      </c>
      <c r="Q50" s="77" t="e">
        <f>(P50/O50)</f>
        <v>#DIV/0!</v>
      </c>
      <c r="R50" s="83">
        <f>O50-P50</f>
        <v>0</v>
      </c>
      <c r="S50" s="83">
        <f>'FY 2009 Exp 01-06-10'!C5</f>
        <v>0</v>
      </c>
      <c r="T50" s="83">
        <v>433900</v>
      </c>
      <c r="U50" s="77" t="e">
        <f>T50/S50</f>
        <v>#DIV/0!</v>
      </c>
      <c r="V50" s="83">
        <f>'FY 2009 Exp 01-06-10'!D5</f>
        <v>433900</v>
      </c>
      <c r="W50" s="77">
        <f>T50/V50</f>
        <v>1</v>
      </c>
      <c r="X50" s="84">
        <f>S50-T50</f>
        <v>-433900</v>
      </c>
      <c r="Y50" s="83">
        <f>'FY 2008 Exp 01-06-10'!C5</f>
        <v>0</v>
      </c>
      <c r="Z50" s="83">
        <v>0</v>
      </c>
      <c r="AA50" s="77" t="e">
        <f>Z50/Y50</f>
        <v>#DIV/0!</v>
      </c>
      <c r="AB50" s="83">
        <f>'FY 2008 Exp 01-06-10'!C5</f>
        <v>0</v>
      </c>
      <c r="AC50" s="77" t="e">
        <f>Z50/AB50</f>
        <v>#DIV/0!</v>
      </c>
      <c r="AD50" s="84">
        <f>Y50-Z50</f>
        <v>0</v>
      </c>
    </row>
    <row r="51" spans="1:30" ht="15.75" customHeight="1" thickBot="1">
      <c r="A51" s="181" t="s">
        <v>22</v>
      </c>
      <c r="B51" s="182"/>
      <c r="C51" s="20">
        <f>SUM(C48:C50)</f>
        <v>19232958</v>
      </c>
      <c r="D51" s="20">
        <f>SUM(D48:D50)</f>
        <v>16593578</v>
      </c>
      <c r="E51" s="12">
        <f>(D51/C51)</f>
        <v>0.86276785921333576</v>
      </c>
      <c r="F51" s="29">
        <f>+G51-D51</f>
        <v>2639380</v>
      </c>
      <c r="G51" s="14">
        <f>C51</f>
        <v>19232958</v>
      </c>
      <c r="J51" s="50"/>
      <c r="K51" s="82">
        <f>SUM(K48:K50)</f>
        <v>19232958</v>
      </c>
      <c r="L51" s="82">
        <f>SUM(L48:L50)</f>
        <v>16593578</v>
      </c>
      <c r="M51" s="132">
        <f>L51/K51</f>
        <v>0.86276785921333576</v>
      </c>
      <c r="N51" s="82">
        <f>SUM(N48:N50)</f>
        <v>2639380</v>
      </c>
      <c r="O51" s="82">
        <f>SUM(O48:O50)</f>
        <v>19391367</v>
      </c>
      <c r="P51" s="82">
        <f>SUM(P48:P50)</f>
        <v>16485003.1</v>
      </c>
      <c r="Q51" s="78">
        <f>(P51/O51)</f>
        <v>0.85012073156059598</v>
      </c>
      <c r="R51" s="82">
        <f>SUM(R48:R50)</f>
        <v>2906363.9</v>
      </c>
      <c r="S51" s="82">
        <f>SUM(S48:S50)</f>
        <v>19905381</v>
      </c>
      <c r="T51" s="82">
        <f>SUM(T48:T50)</f>
        <v>15828078.259999998</v>
      </c>
      <c r="U51" s="78">
        <f>T51/S51</f>
        <v>0.79516580265406611</v>
      </c>
      <c r="V51" s="82">
        <f>SUM(V48:V50)</f>
        <v>23954511</v>
      </c>
      <c r="W51" s="78">
        <f>T51/V51</f>
        <v>0.66075564055555125</v>
      </c>
      <c r="X51" s="82">
        <f>SUM(X48:X50)</f>
        <v>4077302.7400000021</v>
      </c>
      <c r="Y51" s="82">
        <f>SUM(Y48:Y50)</f>
        <v>17066914</v>
      </c>
      <c r="Z51" s="82">
        <f>SUM(Z48:Z50)</f>
        <v>15858017.209999999</v>
      </c>
      <c r="AA51" s="78">
        <f>Z51/Y51</f>
        <v>0.92916723023271808</v>
      </c>
      <c r="AB51" s="82">
        <f>SUM(AB48:AB50)</f>
        <v>17424169</v>
      </c>
      <c r="AC51" s="78">
        <f>Z51/AB51</f>
        <v>0.91011612720239332</v>
      </c>
      <c r="AD51" s="82">
        <f>SUM(AD48:AD50)</f>
        <v>1208896.7900000003</v>
      </c>
    </row>
    <row r="52" spans="1:30" ht="15.75" customHeight="1" thickTop="1">
      <c r="A52" s="134"/>
      <c r="B52" s="134"/>
      <c r="C52" s="135"/>
      <c r="D52" s="135"/>
      <c r="E52" s="136"/>
      <c r="F52" s="23"/>
      <c r="G52" s="14"/>
      <c r="J52" s="50"/>
      <c r="K52" s="137"/>
      <c r="L52" s="137"/>
      <c r="M52" s="138"/>
      <c r="N52" s="24"/>
      <c r="O52" s="24"/>
      <c r="P52" s="24"/>
      <c r="Q52" s="136"/>
      <c r="R52" s="24"/>
      <c r="S52" s="24"/>
      <c r="T52" s="24"/>
      <c r="U52" s="136"/>
      <c r="V52" s="24"/>
      <c r="W52" s="136"/>
      <c r="X52" s="24"/>
      <c r="Y52" s="24"/>
      <c r="Z52" s="24"/>
      <c r="AA52" s="136"/>
      <c r="AB52" s="24"/>
      <c r="AC52" s="136"/>
      <c r="AD52" s="24"/>
    </row>
  </sheetData>
  <mergeCells count="18">
    <mergeCell ref="A49:B49"/>
    <mergeCell ref="A50:B50"/>
    <mergeCell ref="A51:B51"/>
    <mergeCell ref="A23:B23"/>
    <mergeCell ref="A45:F45"/>
    <mergeCell ref="A46:F46"/>
    <mergeCell ref="A47:B47"/>
    <mergeCell ref="A48:B48"/>
    <mergeCell ref="A18:B18"/>
    <mergeCell ref="A19:B19"/>
    <mergeCell ref="A20:B20"/>
    <mergeCell ref="A21:B21"/>
    <mergeCell ref="A22:B22"/>
    <mergeCell ref="B3:D3"/>
    <mergeCell ref="A13:F13"/>
    <mergeCell ref="A14:F14"/>
    <mergeCell ref="A16:B16"/>
    <mergeCell ref="A17:B1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8D279BEC65C44EBCAF757B879113B5" ma:contentTypeVersion="7" ma:contentTypeDescription="Create a new document." ma:contentTypeScope="" ma:versionID="2c36df9ee20cf05646d8106cfb782d5d">
  <xsd:schema xmlns:xsd="http://www.w3.org/2001/XMLSchema" xmlns:xs="http://www.w3.org/2001/XMLSchema" xmlns:p="http://schemas.microsoft.com/office/2006/metadata/properties" xmlns:ns2="faf7b773-99b2-46a9-bf9c-7d40a6c582ad" targetNamespace="http://schemas.microsoft.com/office/2006/metadata/properties" ma:root="true" ma:fieldsID="6eae7e37e1f09dda9e1e9606ac14f203" ns2:_="">
    <xsd:import namespace="faf7b773-99b2-46a9-bf9c-7d40a6c582ad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7b773-99b2-46a9-bf9c-7d40a6c582ad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internalName="Year">
      <xsd:simpleType>
        <xsd:restriction base="dms:Text">
          <xsd:maxLength value="4"/>
        </xsd:restriction>
      </xsd:simpleType>
    </xsd:element>
    <xsd:element name="Category" ma:index="9" nillable="true" ma:displayName="Category" ma:format="Dropdown" ma:internalName="Category">
      <xsd:simpleType>
        <xsd:restriction base="dms:Choice">
          <xsd:enumeration value="Culture and Recreation"/>
          <xsd:enumeration value="Equipment Services"/>
          <xsd:enumeration value="Financial Administration"/>
          <xsd:enumeration value="General Administration"/>
          <xsd:enumeration value="Health and Welfare"/>
          <xsd:enumeration value="High Level Reports"/>
          <xsd:enumeration value="Judicial"/>
          <xsd:enumeration value="Legal"/>
          <xsd:enumeration value="Public Facilities"/>
          <xsd:enumeration value="Public Safety"/>
          <xsd:enumeration value="Public Transporta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faf7b773-99b2-46a9-bf9c-7d40a6c582ad">High Level Reports</Category>
    <Year xmlns="faf7b773-99b2-46a9-bf9c-7d40a6c582ad">2013</Year>
  </documentManagement>
</p:properties>
</file>

<file path=customXml/itemProps1.xml><?xml version="1.0" encoding="utf-8"?>
<ds:datastoreItem xmlns:ds="http://schemas.openxmlformats.org/officeDocument/2006/customXml" ds:itemID="{4EF2D567-06A2-4592-8646-7DFDF8EC358C}"/>
</file>

<file path=customXml/itemProps2.xml><?xml version="1.0" encoding="utf-8"?>
<ds:datastoreItem xmlns:ds="http://schemas.openxmlformats.org/officeDocument/2006/customXml" ds:itemID="{78EFE920-90FF-4BCF-A419-AADE78A22EDA}"/>
</file>

<file path=customXml/itemProps3.xml><?xml version="1.0" encoding="utf-8"?>
<ds:datastoreItem xmlns:ds="http://schemas.openxmlformats.org/officeDocument/2006/customXml" ds:itemID="{F3F54259-728E-44DD-9040-D65CAAE7E3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22</vt:i4>
      </vt:variant>
    </vt:vector>
  </HeadingPairs>
  <TitlesOfParts>
    <vt:vector size="49" baseType="lpstr">
      <vt:lpstr>2013 Q4 Rd &amp; Bridge)</vt:lpstr>
      <vt:lpstr>2013 Q3 Rd &amp; Bridge</vt:lpstr>
      <vt:lpstr>2013 Q2 Rd &amp; Bridge </vt:lpstr>
      <vt:lpstr>2013 Q1 Rd &amp; Bridge </vt:lpstr>
      <vt:lpstr>2012 Q4 Rd &amp; Bridge</vt:lpstr>
      <vt:lpstr>2012 Q3 Rd &amp; Bridge</vt:lpstr>
      <vt:lpstr>2012 Q2 Rd &amp; Bridge </vt:lpstr>
      <vt:lpstr>2012 Q1 Rd &amp; Bridge</vt:lpstr>
      <vt:lpstr>2011 Q4 Rd &amp; Bridge</vt:lpstr>
      <vt:lpstr>2011 Q3 Rd &amp; Bridge</vt:lpstr>
      <vt:lpstr>2011 Q2 Rd &amp; Bridge</vt:lpstr>
      <vt:lpstr>2011 Q1 Rd &amp; Bridge</vt:lpstr>
      <vt:lpstr>2010 Q2 Rd &amp; Bridge</vt:lpstr>
      <vt:lpstr>2010 Q3 Rd &amp; Bridge</vt:lpstr>
      <vt:lpstr>2010 Q4 Rd &amp; Bridge </vt:lpstr>
      <vt:lpstr>FY2010 Exp as of 10-13-10</vt:lpstr>
      <vt:lpstr>FY2010 Rev as of 10-13-10 </vt:lpstr>
      <vt:lpstr>FY2010 Rev as of 07-13-10</vt:lpstr>
      <vt:lpstr>FY2010 Exp as of 07-13-10</vt:lpstr>
      <vt:lpstr>FY2010 Rev as of 04-06-10</vt:lpstr>
      <vt:lpstr>FY2010 Exp as of 04-06-10</vt:lpstr>
      <vt:lpstr>FY 2010 Rev as of 01-15-10</vt:lpstr>
      <vt:lpstr>FY 2010 Exp as of 01-06-10</vt:lpstr>
      <vt:lpstr>FY 2009 Rev 01-15-10</vt:lpstr>
      <vt:lpstr>FY 2009 Exp 01-06-10</vt:lpstr>
      <vt:lpstr>FY 2008 Rev 01-15-10</vt:lpstr>
      <vt:lpstr>FY 2008 Exp 01-06-10</vt:lpstr>
      <vt:lpstr>'2010 Q2 Rd &amp; Bridge'!Print_Area</vt:lpstr>
      <vt:lpstr>'2010 Q3 Rd &amp; Bridge'!Print_Area</vt:lpstr>
      <vt:lpstr>'2010 Q4 Rd &amp; Bridge '!Print_Area</vt:lpstr>
      <vt:lpstr>'2011 Q1 Rd &amp; Bridge'!Print_Area</vt:lpstr>
      <vt:lpstr>'2011 Q2 Rd &amp; Bridge'!Print_Area</vt:lpstr>
      <vt:lpstr>'2011 Q3 Rd &amp; Bridge'!Print_Area</vt:lpstr>
      <vt:lpstr>'2011 Q4 Rd &amp; Bridge'!Print_Area</vt:lpstr>
      <vt:lpstr>'2012 Q1 Rd &amp; Bridge'!Print_Area</vt:lpstr>
      <vt:lpstr>'2012 Q2 Rd &amp; Bridge '!Print_Area</vt:lpstr>
      <vt:lpstr>'2012 Q3 Rd &amp; Bridge'!Print_Area</vt:lpstr>
      <vt:lpstr>'2012 Q4 Rd &amp; Bridge'!Print_Area</vt:lpstr>
      <vt:lpstr>'2013 Q1 Rd &amp; Bridge '!Print_Area</vt:lpstr>
      <vt:lpstr>'2013 Q2 Rd &amp; Bridge '!Print_Area</vt:lpstr>
      <vt:lpstr>'2013 Q3 Rd &amp; Bridge'!Print_Area</vt:lpstr>
      <vt:lpstr>'2013 Q4 Rd &amp; Bridge)'!Print_Area</vt:lpstr>
      <vt:lpstr>'FY 2010 Rev as of 01-15-10'!Print_Area</vt:lpstr>
      <vt:lpstr>'FY 2008 Exp 01-06-10'!Print_Titles</vt:lpstr>
      <vt:lpstr>'FY 2008 Rev 01-15-10'!Print_Titles</vt:lpstr>
      <vt:lpstr>'FY 2009 Exp 01-06-10'!Print_Titles</vt:lpstr>
      <vt:lpstr>'FY 2009 Rev 01-15-10'!Print_Titles</vt:lpstr>
      <vt:lpstr>'FY 2010 Exp as of 01-06-10'!Print_Titles</vt:lpstr>
      <vt:lpstr>'FY 2010 Rev as of 01-15-10'!Print_Titles</vt:lpstr>
    </vt:vector>
  </TitlesOfParts>
  <Company>collin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FY2013 4th quarter High Level Reports Road and Bridge Fund Quarterly Report 2013</dc:title>
  <dc:creator>Monika Arris</dc:creator>
  <cp:lastModifiedBy>Teresa Moore</cp:lastModifiedBy>
  <cp:lastPrinted>2013-10-07T20:55:14Z</cp:lastPrinted>
  <dcterms:created xsi:type="dcterms:W3CDTF">2005-12-07T16:53:29Z</dcterms:created>
  <dcterms:modified xsi:type="dcterms:W3CDTF">2013-10-07T20:55:43Z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487155397</vt:i4>
  </property>
  <property fmtid="{D5CDD505-2E9C-101B-9397-08002B2CF9AE}" pid="3" name="_NewReviewCycle">
    <vt:lpwstr/>
  </property>
  <property fmtid="{D5CDD505-2E9C-101B-9397-08002B2CF9AE}" pid="4" name="_EmailSubject">
    <vt:lpwstr>General Fund Quarterly Report 2007.xls</vt:lpwstr>
  </property>
  <property fmtid="{D5CDD505-2E9C-101B-9397-08002B2CF9AE}" pid="5" name="_AuthorEmail">
    <vt:lpwstr>marris@co.collin.tx.us</vt:lpwstr>
  </property>
  <property fmtid="{D5CDD505-2E9C-101B-9397-08002B2CF9AE}" pid="6" name="_AuthorEmailDisplayName">
    <vt:lpwstr>Monika Arris</vt:lpwstr>
  </property>
  <property fmtid="{D5CDD505-2E9C-101B-9397-08002B2CF9AE}" pid="7" name="_ReviewingToolsShownOnce">
    <vt:lpwstr/>
  </property>
  <property fmtid="{D5CDD505-2E9C-101B-9397-08002B2CF9AE}" pid="8" name="ContentTypeId">
    <vt:lpwstr>0x0101005F8D279BEC65C44EBCAF757B879113B5</vt:lpwstr>
  </property>
</Properties>
</file>